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480" yWindow="120" windowWidth="19440" windowHeight="12585"/>
  </bookViews>
  <sheets>
    <sheet name="итог 3" sheetId="1" r:id="rId1"/>
  </sheets>
  <definedNames>
    <definedName name="Excel_BuiltIn_Print_Area_3">#REF!</definedName>
  </definedNames>
  <calcPr calcId="125725"/>
</workbook>
</file>

<file path=xl/calcChain.xml><?xml version="1.0" encoding="utf-8"?>
<calcChain xmlns="http://schemas.openxmlformats.org/spreadsheetml/2006/main">
  <c r="AN37" i="1"/>
  <c r="AL37"/>
  <c r="AI37"/>
  <c r="AG37"/>
  <c r="AE37"/>
  <c r="AD37"/>
  <c r="AH37" s="1"/>
  <c r="AB37"/>
  <c r="AA37"/>
  <c r="Y37"/>
  <c r="S37"/>
  <c r="P37"/>
  <c r="N37"/>
  <c r="L37"/>
  <c r="K37"/>
  <c r="O37" s="1"/>
  <c r="I37"/>
  <c r="H37"/>
  <c r="AO36"/>
  <c r="AN36"/>
  <c r="AM36"/>
  <c r="AL36"/>
  <c r="AJ36"/>
  <c r="AH36"/>
  <c r="AF36"/>
  <c r="AD36"/>
  <c r="AB36"/>
  <c r="Y36"/>
  <c r="W36"/>
  <c r="S36"/>
  <c r="P36"/>
  <c r="N36"/>
  <c r="L36"/>
  <c r="K36"/>
  <c r="O36" s="1"/>
  <c r="I36"/>
  <c r="AO35"/>
  <c r="AN35"/>
  <c r="AM35"/>
  <c r="AJ35"/>
  <c r="AI35"/>
  <c r="AH35"/>
  <c r="AG35"/>
  <c r="AF35"/>
  <c r="AE35"/>
  <c r="AB35"/>
  <c r="Y35"/>
  <c r="X35"/>
  <c r="W35"/>
  <c r="V35"/>
  <c r="U35"/>
  <c r="T35"/>
  <c r="Q35"/>
  <c r="P35"/>
  <c r="O35"/>
  <c r="N35"/>
  <c r="M35"/>
  <c r="L35"/>
  <c r="I35"/>
  <c r="AO34"/>
  <c r="AN34"/>
  <c r="AM34"/>
  <c r="AJ34"/>
  <c r="AI34"/>
  <c r="AH34"/>
  <c r="AG34"/>
  <c r="AF34"/>
  <c r="AE34"/>
  <c r="AB34"/>
  <c r="Y34"/>
  <c r="X34"/>
  <c r="W34"/>
  <c r="V34"/>
  <c r="U34"/>
  <c r="T34"/>
  <c r="Q34"/>
  <c r="P34"/>
  <c r="O34"/>
  <c r="N34"/>
  <c r="M34"/>
  <c r="L34"/>
  <c r="I34"/>
  <c r="AL33"/>
  <c r="AJ33"/>
  <c r="AI33"/>
  <c r="AG33"/>
  <c r="AF33"/>
  <c r="AE33"/>
  <c r="AD33"/>
  <c r="AH33" s="1"/>
  <c r="AB33"/>
  <c r="AA33"/>
  <c r="Y33"/>
  <c r="S33"/>
  <c r="Q33"/>
  <c r="P33"/>
  <c r="N33"/>
  <c r="M33"/>
  <c r="L33"/>
  <c r="K33"/>
  <c r="O33" s="1"/>
  <c r="I33"/>
  <c r="H33"/>
  <c r="AO32"/>
  <c r="AM32"/>
  <c r="AL32"/>
  <c r="AN32" s="1"/>
  <c r="AJ32"/>
  <c r="AH32"/>
  <c r="AF32"/>
  <c r="AD32"/>
  <c r="AA32"/>
  <c r="AB32" s="1"/>
  <c r="X32"/>
  <c r="V32"/>
  <c r="T32"/>
  <c r="S32"/>
  <c r="W32" s="1"/>
  <c r="K32"/>
  <c r="H32"/>
  <c r="I32" s="1"/>
  <c r="AN31"/>
  <c r="AL31"/>
  <c r="AI31"/>
  <c r="AH31"/>
  <c r="AD31"/>
  <c r="AB31"/>
  <c r="AA31"/>
  <c r="X31"/>
  <c r="W31"/>
  <c r="S31"/>
  <c r="P31"/>
  <c r="L31"/>
  <c r="K31"/>
  <c r="I31"/>
  <c r="H31"/>
  <c r="AO30"/>
  <c r="AN30"/>
  <c r="AM30"/>
  <c r="AH30"/>
  <c r="AH29" s="1"/>
  <c r="AG30"/>
  <c r="AE30"/>
  <c r="AD30"/>
  <c r="AB30"/>
  <c r="AB29" s="1"/>
  <c r="AA30"/>
  <c r="Y30"/>
  <c r="W30"/>
  <c r="U30"/>
  <c r="T30"/>
  <c r="S30"/>
  <c r="K30"/>
  <c r="P30" s="1"/>
  <c r="I30"/>
  <c r="H30"/>
  <c r="AA29"/>
  <c r="AO28"/>
  <c r="AN28"/>
  <c r="AL28"/>
  <c r="AM28" s="1"/>
  <c r="AJ28"/>
  <c r="AI28"/>
  <c r="AG28"/>
  <c r="AF28"/>
  <c r="AE28"/>
  <c r="AD28"/>
  <c r="AH28" s="1"/>
  <c r="AB28"/>
  <c r="AA28"/>
  <c r="S28"/>
  <c r="Q28"/>
  <c r="P28"/>
  <c r="N28"/>
  <c r="M28"/>
  <c r="L28"/>
  <c r="K28"/>
  <c r="O28" s="1"/>
  <c r="H28"/>
  <c r="I28" s="1"/>
  <c r="AO27"/>
  <c r="AN27"/>
  <c r="AM27"/>
  <c r="AJ27"/>
  <c r="AI27"/>
  <c r="AG27"/>
  <c r="AF27"/>
  <c r="AE27"/>
  <c r="AD27"/>
  <c r="AH27" s="1"/>
  <c r="AB27"/>
  <c r="AA27"/>
  <c r="S27"/>
  <c r="Y27" s="1"/>
  <c r="Q27"/>
  <c r="P27"/>
  <c r="N27"/>
  <c r="M27"/>
  <c r="L27"/>
  <c r="K27"/>
  <c r="O27" s="1"/>
  <c r="H27"/>
  <c r="I27" s="1"/>
  <c r="AO26"/>
  <c r="AO24" s="1"/>
  <c r="AM26"/>
  <c r="AL26"/>
  <c r="AN26" s="1"/>
  <c r="AJ26"/>
  <c r="AJ24" s="1"/>
  <c r="AH26"/>
  <c r="AD26"/>
  <c r="AB26"/>
  <c r="AA26"/>
  <c r="AA24" s="1"/>
  <c r="W26"/>
  <c r="V26"/>
  <c r="T26"/>
  <c r="S26"/>
  <c r="Q26"/>
  <c r="Q24" s="1"/>
  <c r="O26"/>
  <c r="K26"/>
  <c r="I26"/>
  <c r="H26"/>
  <c r="H24" s="1"/>
  <c r="AO25"/>
  <c r="AN25"/>
  <c r="AN24" s="1"/>
  <c r="AM25"/>
  <c r="AM24" s="1"/>
  <c r="AJ25"/>
  <c r="AI25"/>
  <c r="AH25"/>
  <c r="AG25"/>
  <c r="AF25"/>
  <c r="AE25"/>
  <c r="AB25"/>
  <c r="AB24" s="1"/>
  <c r="Y25"/>
  <c r="X25"/>
  <c r="W25"/>
  <c r="V25"/>
  <c r="U25"/>
  <c r="T25"/>
  <c r="Q25"/>
  <c r="P25"/>
  <c r="O25"/>
  <c r="O24" s="1"/>
  <c r="N25"/>
  <c r="M25"/>
  <c r="L25"/>
  <c r="I25"/>
  <c r="I24" s="1"/>
  <c r="AL24"/>
  <c r="AD24"/>
  <c r="K24"/>
  <c r="AO23"/>
  <c r="AN23"/>
  <c r="AM23"/>
  <c r="AH23"/>
  <c r="AG23"/>
  <c r="AF23"/>
  <c r="AD23"/>
  <c r="AB23"/>
  <c r="Y23"/>
  <c r="X23"/>
  <c r="W23"/>
  <c r="V23"/>
  <c r="U23"/>
  <c r="T23"/>
  <c r="Q23"/>
  <c r="P23"/>
  <c r="O23"/>
  <c r="N23"/>
  <c r="M23"/>
  <c r="L23"/>
  <c r="I23"/>
  <c r="AL22"/>
  <c r="AI22"/>
  <c r="AD22"/>
  <c r="AB22"/>
  <c r="AA22"/>
  <c r="S22"/>
  <c r="N22"/>
  <c r="L22"/>
  <c r="K22"/>
  <c r="O22" s="1"/>
  <c r="I22"/>
  <c r="H22"/>
  <c r="AO21"/>
  <c r="AN21"/>
  <c r="AM21"/>
  <c r="AL21"/>
  <c r="AJ21"/>
  <c r="AF21"/>
  <c r="AE21"/>
  <c r="AD21"/>
  <c r="AG21" s="1"/>
  <c r="AA21"/>
  <c r="AB21" s="1"/>
  <c r="Y21"/>
  <c r="X21"/>
  <c r="V21"/>
  <c r="U21"/>
  <c r="T21"/>
  <c r="S21"/>
  <c r="W21" s="1"/>
  <c r="Q21"/>
  <c r="P21"/>
  <c r="M21"/>
  <c r="L21"/>
  <c r="K21"/>
  <c r="O21" s="1"/>
  <c r="H21"/>
  <c r="I21" s="1"/>
  <c r="AL20"/>
  <c r="AJ20"/>
  <c r="AI20"/>
  <c r="AG20"/>
  <c r="AF20"/>
  <c r="AE20"/>
  <c r="AD20"/>
  <c r="AH20" s="1"/>
  <c r="AA20"/>
  <c r="AB20" s="1"/>
  <c r="S20"/>
  <c r="V20" s="1"/>
  <c r="Q20"/>
  <c r="P20"/>
  <c r="N20"/>
  <c r="M20"/>
  <c r="L20"/>
  <c r="K20"/>
  <c r="O20" s="1"/>
  <c r="H20"/>
  <c r="I20" s="1"/>
  <c r="AM19"/>
  <c r="AL19"/>
  <c r="AD19"/>
  <c r="AH19" s="1"/>
  <c r="AB19"/>
  <c r="AA19"/>
  <c r="X19"/>
  <c r="W19"/>
  <c r="S19"/>
  <c r="O19"/>
  <c r="N19"/>
  <c r="K19"/>
  <c r="I19"/>
  <c r="H19"/>
  <c r="Q19" s="1"/>
  <c r="AN18"/>
  <c r="AM18"/>
  <c r="AL18"/>
  <c r="AO18" s="1"/>
  <c r="AI18"/>
  <c r="AH18"/>
  <c r="AD18"/>
  <c r="AB18"/>
  <c r="AA18"/>
  <c r="Y18"/>
  <c r="X18"/>
  <c r="U18"/>
  <c r="T18"/>
  <c r="S18"/>
  <c r="W18" s="1"/>
  <c r="P18"/>
  <c r="O18"/>
  <c r="L18"/>
  <c r="K18"/>
  <c r="I18"/>
  <c r="H18"/>
  <c r="AO17"/>
  <c r="AN17"/>
  <c r="AM17"/>
  <c r="AL17"/>
  <c r="AJ17"/>
  <c r="AI17"/>
  <c r="AF17"/>
  <c r="AE17"/>
  <c r="AD17"/>
  <c r="AH17" s="1"/>
  <c r="AA17"/>
  <c r="AB17" s="1"/>
  <c r="Y17"/>
  <c r="X17"/>
  <c r="V17"/>
  <c r="U17"/>
  <c r="T17"/>
  <c r="S17"/>
  <c r="W17" s="1"/>
  <c r="Q17"/>
  <c r="P17"/>
  <c r="M17"/>
  <c r="L17"/>
  <c r="K17"/>
  <c r="O17" s="1"/>
  <c r="H17"/>
  <c r="I17" s="1"/>
  <c r="AL16"/>
  <c r="AJ16"/>
  <c r="AI16"/>
  <c r="AG16"/>
  <c r="AF16"/>
  <c r="AE16"/>
  <c r="AD16"/>
  <c r="AH16" s="1"/>
  <c r="AA16"/>
  <c r="W16"/>
  <c r="S16"/>
  <c r="Q16"/>
  <c r="P16"/>
  <c r="N16"/>
  <c r="M16"/>
  <c r="L16"/>
  <c r="K16"/>
  <c r="O16" s="1"/>
  <c r="O15" s="1"/>
  <c r="H16"/>
  <c r="AL15"/>
  <c r="S15"/>
  <c r="K15"/>
  <c r="AO10"/>
  <c r="AN10"/>
  <c r="AM10"/>
  <c r="AJ10"/>
  <c r="AI10"/>
  <c r="AH10"/>
  <c r="AG10"/>
  <c r="AF10"/>
  <c r="AE10"/>
  <c r="AD10"/>
  <c r="AB10"/>
  <c r="AA10"/>
  <c r="Y10"/>
  <c r="X10"/>
  <c r="W10"/>
  <c r="V10"/>
  <c r="U10"/>
  <c r="T10"/>
  <c r="S10"/>
  <c r="Q10"/>
  <c r="P10"/>
  <c r="O10"/>
  <c r="N10"/>
  <c r="M10"/>
  <c r="L10"/>
  <c r="K10"/>
  <c r="I10"/>
  <c r="H10"/>
  <c r="P29" l="1"/>
  <c r="AL40"/>
  <c r="AN20"/>
  <c r="AM20"/>
  <c r="V22"/>
  <c r="W22"/>
  <c r="U22"/>
  <c r="AD15"/>
  <c r="AD40" s="1"/>
  <c r="AA15"/>
  <c r="AA40" s="1"/>
  <c r="AN16"/>
  <c r="AM16"/>
  <c r="AM15" s="1"/>
  <c r="AG19"/>
  <c r="T22"/>
  <c r="Y24"/>
  <c r="X28"/>
  <c r="T28"/>
  <c r="V28"/>
  <c r="U28"/>
  <c r="N32"/>
  <c r="P32"/>
  <c r="L32"/>
  <c r="O32"/>
  <c r="M32"/>
  <c r="H15"/>
  <c r="Y16"/>
  <c r="U16"/>
  <c r="X16"/>
  <c r="T16"/>
  <c r="AB16"/>
  <c r="AB15" s="1"/>
  <c r="AB38" s="1"/>
  <c r="AB40" s="1"/>
  <c r="AO16"/>
  <c r="AG18"/>
  <c r="AJ18"/>
  <c r="AF18"/>
  <c r="AF15" s="1"/>
  <c r="V19"/>
  <c r="Y19"/>
  <c r="U19"/>
  <c r="X22"/>
  <c r="AJ22"/>
  <c r="AF22"/>
  <c r="AH22"/>
  <c r="AG22"/>
  <c r="S24"/>
  <c r="P24"/>
  <c r="V24"/>
  <c r="AH24"/>
  <c r="P26"/>
  <c r="L26"/>
  <c r="L24" s="1"/>
  <c r="N26"/>
  <c r="M26"/>
  <c r="M24" s="1"/>
  <c r="W28"/>
  <c r="W29"/>
  <c r="V31"/>
  <c r="U31"/>
  <c r="U29" s="1"/>
  <c r="Y31"/>
  <c r="T31"/>
  <c r="Q32"/>
  <c r="AJ19"/>
  <c r="AJ15" s="1"/>
  <c r="AF19"/>
  <c r="AI19"/>
  <c r="AE19"/>
  <c r="N24"/>
  <c r="X27"/>
  <c r="T27"/>
  <c r="T24" s="1"/>
  <c r="V27"/>
  <c r="U27"/>
  <c r="Q30"/>
  <c r="M30"/>
  <c r="N30"/>
  <c r="L30"/>
  <c r="L29" s="1"/>
  <c r="K29"/>
  <c r="K40"/>
  <c r="L15"/>
  <c r="Y20"/>
  <c r="U20"/>
  <c r="X20"/>
  <c r="T20"/>
  <c r="AO20"/>
  <c r="AO22"/>
  <c r="AN22"/>
  <c r="AM22"/>
  <c r="W27"/>
  <c r="W24" s="1"/>
  <c r="O30"/>
  <c r="AO33"/>
  <c r="AM33"/>
  <c r="AN33"/>
  <c r="AN29" s="1"/>
  <c r="I16"/>
  <c r="I15" s="1"/>
  <c r="V16"/>
  <c r="N18"/>
  <c r="Q18"/>
  <c r="Q15" s="1"/>
  <c r="M18"/>
  <c r="AE18"/>
  <c r="AE15" s="1"/>
  <c r="T19"/>
  <c r="AO19"/>
  <c r="AN19"/>
  <c r="W20"/>
  <c r="W15" s="1"/>
  <c r="Y22"/>
  <c r="AE22"/>
  <c r="AI26"/>
  <c r="AI24" s="1"/>
  <c r="AE26"/>
  <c r="AE24" s="1"/>
  <c r="AG26"/>
  <c r="AG24" s="1"/>
  <c r="AF26"/>
  <c r="AF24" s="1"/>
  <c r="Y28"/>
  <c r="H29"/>
  <c r="I29"/>
  <c r="I38" s="1"/>
  <c r="Q31"/>
  <c r="M31"/>
  <c r="O31"/>
  <c r="N31"/>
  <c r="AJ31"/>
  <c r="AF31"/>
  <c r="AG31"/>
  <c r="AG29" s="1"/>
  <c r="AE31"/>
  <c r="AD29"/>
  <c r="V33"/>
  <c r="X33"/>
  <c r="T33"/>
  <c r="W33"/>
  <c r="U33"/>
  <c r="X37"/>
  <c r="T37"/>
  <c r="V37"/>
  <c r="W37"/>
  <c r="U37"/>
  <c r="N17"/>
  <c r="N15" s="1"/>
  <c r="AG17"/>
  <c r="V18"/>
  <c r="L19"/>
  <c r="P19"/>
  <c r="P15" s="1"/>
  <c r="N21"/>
  <c r="AH21"/>
  <c r="AH15" s="1"/>
  <c r="AI23"/>
  <c r="AI15" s="1"/>
  <c r="AE23"/>
  <c r="AJ23"/>
  <c r="Y26"/>
  <c r="U26"/>
  <c r="U24" s="1"/>
  <c r="X26"/>
  <c r="X24" s="1"/>
  <c r="V30"/>
  <c r="S29"/>
  <c r="S40" s="1"/>
  <c r="X30"/>
  <c r="X29" s="1"/>
  <c r="AJ30"/>
  <c r="AJ29" s="1"/>
  <c r="AF30"/>
  <c r="AF29" s="1"/>
  <c r="AI30"/>
  <c r="AM31"/>
  <c r="AM29" s="1"/>
  <c r="AO31"/>
  <c r="AO29" s="1"/>
  <c r="AL29"/>
  <c r="AG32"/>
  <c r="AI32"/>
  <c r="AE32"/>
  <c r="X36"/>
  <c r="T36"/>
  <c r="V36"/>
  <c r="M19"/>
  <c r="M15" s="1"/>
  <c r="AI21"/>
  <c r="Q22"/>
  <c r="M22"/>
  <c r="P22"/>
  <c r="U36"/>
  <c r="AI36"/>
  <c r="AE36"/>
  <c r="AG36"/>
  <c r="AM37"/>
  <c r="AO37"/>
  <c r="U32"/>
  <c r="Y32"/>
  <c r="M36"/>
  <c r="Q36"/>
  <c r="M37"/>
  <c r="Q37"/>
  <c r="AF37"/>
  <c r="AJ37"/>
  <c r="U38" l="1"/>
  <c r="U40" s="1"/>
  <c r="AH38"/>
  <c r="AH40" s="1"/>
  <c r="AJ38"/>
  <c r="AJ40" s="1"/>
  <c r="I40"/>
  <c r="L38"/>
  <c r="L40" s="1"/>
  <c r="Y15"/>
  <c r="AM38"/>
  <c r="AM40" s="1"/>
  <c r="W38"/>
  <c r="W40" s="1"/>
  <c r="AI29"/>
  <c r="AI38" s="1"/>
  <c r="AI40" s="1"/>
  <c r="V15"/>
  <c r="M29"/>
  <c r="M38" s="1"/>
  <c r="M40" s="1"/>
  <c r="Y29"/>
  <c r="X15"/>
  <c r="H40"/>
  <c r="AE29"/>
  <c r="AE38" s="1"/>
  <c r="AE40" s="1"/>
  <c r="P38"/>
  <c r="P40" s="1"/>
  <c r="X38"/>
  <c r="X40" s="1"/>
  <c r="N29"/>
  <c r="N38" s="1"/>
  <c r="N40" s="1"/>
  <c r="T29"/>
  <c r="T15"/>
  <c r="AN15"/>
  <c r="AN38" s="1"/>
  <c r="AN40" s="1"/>
  <c r="AF38"/>
  <c r="AF40" s="1"/>
  <c r="V29"/>
  <c r="AG15"/>
  <c r="AG38" s="1"/>
  <c r="AG40" s="1"/>
  <c r="O29"/>
  <c r="O38" s="1"/>
  <c r="O40" s="1"/>
  <c r="Q29"/>
  <c r="Q38" s="1"/>
  <c r="Q40" s="1"/>
  <c r="AO15"/>
  <c r="AO38" s="1"/>
  <c r="AO40" s="1"/>
  <c r="U15"/>
  <c r="Y38" l="1"/>
  <c r="Y40" s="1"/>
  <c r="V38"/>
  <c r="V40" s="1"/>
  <c r="T38"/>
  <c r="T40" s="1"/>
</calcChain>
</file>

<file path=xl/sharedStrings.xml><?xml version="1.0" encoding="utf-8"?>
<sst xmlns="http://schemas.openxmlformats.org/spreadsheetml/2006/main" count="216" uniqueCount="86">
  <si>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</si>
  <si>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</si>
  <si>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доме, являющегося</t>
  </si>
  <si>
    <t>объектом конкурса</t>
  </si>
  <si>
    <t>Жилой район Ломоносовский территориальный округ</t>
  </si>
  <si>
    <t>Перечень обязательных работ, услуг</t>
  </si>
  <si>
    <t>Стоимость работ (размер платы) в руб. по многоквартирным домам</t>
  </si>
  <si>
    <t>деревянные благоустроенные жилые дома</t>
  </si>
  <si>
    <t>деревянные  жилые дома благоустроенные без центрального отопления</t>
  </si>
  <si>
    <t>деревянные дома без центр отопл и газоснабжения</t>
  </si>
  <si>
    <t>дерев дома неблагоустроенные без цент отопл и канализации</t>
  </si>
  <si>
    <t>деревянные  жилые дома признанными аварийными или непригодными для проживания согласно МВК</t>
  </si>
  <si>
    <t>Периодичность</t>
  </si>
  <si>
    <t>на 1 кв.м.</t>
  </si>
  <si>
    <t>ул. Шабалина А.О., 11</t>
  </si>
  <si>
    <t>ул. Урицкого, 26</t>
  </si>
  <si>
    <t>ул. Урицкого, 32, корп. 1</t>
  </si>
  <si>
    <t>ул. Володарского, 76</t>
  </si>
  <si>
    <t>ул. Г. Суфтина, 15</t>
  </si>
  <si>
    <t>ул. Володарского, 53</t>
  </si>
  <si>
    <t>ул. Г.Суфтина, 11</t>
  </si>
  <si>
    <t>пр. Московский, 19</t>
  </si>
  <si>
    <t>ул. П.Усова,  15</t>
  </si>
  <si>
    <t>ул. П.Усова,  21</t>
  </si>
  <si>
    <t>ул. П.Усова,  27</t>
  </si>
  <si>
    <t>ул. П.Усова,  41</t>
  </si>
  <si>
    <t>ул. Володарского, 69</t>
  </si>
  <si>
    <t>пр. Советских космонавтов, 83</t>
  </si>
  <si>
    <t>ул. Нагорная, 39</t>
  </si>
  <si>
    <t>ул. Нагорная, 55</t>
  </si>
  <si>
    <t>ул. Нагорная, 55, корп. 1</t>
  </si>
  <si>
    <t>ул. Нагорная, 38</t>
  </si>
  <si>
    <t>ул. Нагорная, 40</t>
  </si>
  <si>
    <t>ул. Стрелковая, 8-й проезд, 14</t>
  </si>
  <si>
    <t>ул. П.Усова, 31 корп.1</t>
  </si>
  <si>
    <t>пр. Ленинградский, 28</t>
  </si>
  <si>
    <t>ул. Г.Суфтина, 27</t>
  </si>
  <si>
    <t>I. Содержание помещений общего пользования</t>
  </si>
  <si>
    <t>1. Подметание полов во всех помещениях общего пользования</t>
  </si>
  <si>
    <t>раз(а) в неделю</t>
  </si>
  <si>
    <t>2. Подметание полов кабины лифта и влажная уборка</t>
  </si>
  <si>
    <t>3. Очистка и влажная уборка мусорных камер</t>
  </si>
  <si>
    <t>4. Мытье и протирка закрывающих устройств мусоропровода</t>
  </si>
  <si>
    <t>раз(а) в месяц</t>
  </si>
  <si>
    <t>II. Уборка земельного участка, входящего в состав общего имущества многоквартирного дома</t>
  </si>
  <si>
    <t>5. Подметание земельного участка в летний период</t>
  </si>
  <si>
    <t>6. Уборка мусора с газона, очистка урн</t>
  </si>
  <si>
    <t>7. Уборка мусора на контейнерных площадках (помойных ям)</t>
  </si>
  <si>
    <t>8. Сдвижка и подметание снега при отсутствии снегопадов</t>
  </si>
  <si>
    <t>9. Сдвижка и подметание снега при снегопаде, c подсыпкой противоскользящего материала</t>
  </si>
  <si>
    <t>по мере необходимости. Начало работ не позднее _____ часов после начала снегопада</t>
  </si>
  <si>
    <t>10.Сбразывание снега с крыш, сбивание сосулек</t>
  </si>
  <si>
    <t>11. Вывоз твердых бытовых отходов (ТБО), жидких бытовых отходов</t>
  </si>
  <si>
    <t>12. Очистка выгребных ям (для деревянных неблагоустроенных зданий)</t>
  </si>
  <si>
    <t>III. Подготовка многоквартирного дома к сезонной эксплуатации</t>
  </si>
  <si>
    <t>13. Укрепление водосточных труб, колен и воронок</t>
  </si>
  <si>
    <t>раз(а) в год</t>
  </si>
  <si>
    <t>14. Расконсервирование и ремонт поливочной системы, консервация системы центрального отопления, ремонт просевшей отмостки</t>
  </si>
  <si>
    <t>15. Замена разбитых стекол окон и дверей в помещениях общего пользования</t>
  </si>
  <si>
    <t>по мере необходимости в течение (указать период устранения неисправности)</t>
  </si>
  <si>
    <t>16. Ремонт, регулировка, промывка, испытание, расконсервация систем центрального отопления, утепление бойлеров, утепление и прочистка дымовентиляционных каналов, консервация поливочных систем, проверка состояния и ремонт продухов в цоколях зданий, ремонт и утепление наружных водоразборных кранов и колонок, ремонт и укрепление входных дверей</t>
  </si>
  <si>
    <t>IV. Проведение технических осмотров и мелкий ремонт</t>
  </si>
  <si>
    <t>17. Проведение технических осмотров и устранение незначительных неисправностей в системах вентиляции, дымоудаления, электротехнических устройств</t>
  </si>
  <si>
    <t>18.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</si>
  <si>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</si>
  <si>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19. Дератизация, дезинсекция</t>
  </si>
  <si>
    <t>20. Проверка и обслуживание коллективных приборов учета электроэнергии</t>
  </si>
  <si>
    <t>21. Проверка и обслуживание коллективных приборов учета воды</t>
  </si>
  <si>
    <t>22. Проверка и обслуживание коллективных приборов учета тепловой энергии</t>
  </si>
  <si>
    <t>V. Техническое обслуживание внутридомового газового оборудования (ВДГО)</t>
  </si>
  <si>
    <t>VI. Расходы по управлению МКД</t>
  </si>
  <si>
    <t>Общая годовая стоимость работ по многоквартирным домам</t>
  </si>
  <si>
    <t>Площадь жилых помещений</t>
  </si>
  <si>
    <t>Стоимость на 1 кв. м. жилой площади (руб./мес.)  (размер платы в месяц на 1 кв. м.)  с газоснабжением/без газоснабжения</t>
  </si>
  <si>
    <t>месяцы</t>
  </si>
  <si>
    <t>Лот №3</t>
  </si>
  <si>
    <t>3раз(а) в неделю</t>
  </si>
  <si>
    <t>к Извещению и документации</t>
  </si>
  <si>
    <t>о проведении открытого конкурса</t>
  </si>
  <si>
    <t>Приложение №2</t>
  </si>
  <si>
    <t>по необходимости</t>
  </si>
  <si>
    <t>1раз(а) в год</t>
  </si>
  <si>
    <t>проверка исправности вытяжек _2_ раз(а) в год. Проверка наличия тяги в дымовентиляционных каналах _1__ раз(а) в год. Проверка заземления оболочки электрокабеля, замеры сопротивления ____ раз(а) в год.</t>
  </si>
  <si>
    <t>4раз(а) в год</t>
  </si>
  <si>
    <t>8раз(а) в год</t>
  </si>
  <si>
    <t>3раз(а) в год</t>
  </si>
</sst>
</file>

<file path=xl/styles.xml><?xml version="1.0" encoding="utf-8"?>
<styleSheet xmlns="http://schemas.openxmlformats.org/spreadsheetml/2006/main">
  <numFmts count="1">
    <numFmt numFmtId="164" formatCode="#,##0.0"/>
  </numFmts>
  <fonts count="15">
    <font>
      <sz val="10"/>
      <name val="Arial Cyr"/>
      <family val="2"/>
      <charset val="204"/>
    </font>
    <font>
      <b/>
      <sz val="11"/>
      <name val="Times New Roman"/>
      <family val="1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b/>
      <sz val="8"/>
      <name val="Times New Roman"/>
      <family val="1"/>
    </font>
    <font>
      <sz val="7"/>
      <name val="Times New Roman"/>
      <family val="1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10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2" fillId="2" borderId="0" xfId="0" applyFont="1" applyFill="1" applyAlignment="1"/>
    <xf numFmtId="0" fontId="3" fillId="2" borderId="0" xfId="0" applyFont="1" applyFill="1" applyAlignment="1"/>
    <xf numFmtId="0" fontId="3" fillId="0" borderId="0" xfId="0" applyFont="1" applyAlignment="1"/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4" fillId="0" borderId="0" xfId="0" applyFont="1" applyAlignment="1"/>
    <xf numFmtId="4" fontId="1" fillId="0" borderId="0" xfId="0" applyNumberFormat="1" applyFont="1" applyBorder="1" applyAlignment="1">
      <alignment horizontal="center" vertical="center"/>
    </xf>
    <xf numFmtId="4" fontId="4" fillId="2" borderId="5" xfId="0" applyNumberFormat="1" applyFont="1" applyFill="1" applyBorder="1" applyAlignment="1">
      <alignment horizontal="center" vertical="center" wrapText="1"/>
    </xf>
    <xf numFmtId="4" fontId="3" fillId="0" borderId="7" xfId="0" applyNumberFormat="1" applyFont="1" applyFill="1" applyBorder="1" applyAlignment="1">
      <alignment horizontal="center" vertical="center" wrapText="1"/>
    </xf>
    <xf numFmtId="4" fontId="5" fillId="2" borderId="7" xfId="0" applyNumberFormat="1" applyFont="1" applyFill="1" applyBorder="1" applyAlignment="1">
      <alignment horizontal="center" vertical="center" wrapText="1"/>
    </xf>
    <xf numFmtId="4" fontId="5" fillId="3" borderId="7" xfId="0" applyNumberFormat="1" applyFont="1" applyFill="1" applyBorder="1" applyAlignment="1">
      <alignment horizontal="center" vertical="center" wrapText="1"/>
    </xf>
    <xf numFmtId="4" fontId="3" fillId="2" borderId="7" xfId="0" applyNumberFormat="1" applyFont="1" applyFill="1" applyBorder="1" applyAlignment="1">
      <alignment horizontal="center" vertical="center" wrapText="1"/>
    </xf>
    <xf numFmtId="4" fontId="6" fillId="3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/>
    <xf numFmtId="4" fontId="3" fillId="0" borderId="1" xfId="0" applyNumberFormat="1" applyFont="1" applyBorder="1" applyAlignment="1">
      <alignment horizontal="center" vertical="top"/>
    </xf>
    <xf numFmtId="4" fontId="4" fillId="0" borderId="1" xfId="0" applyNumberFormat="1" applyFont="1" applyFill="1" applyBorder="1" applyAlignment="1">
      <alignment horizontal="center"/>
    </xf>
    <xf numFmtId="164" fontId="7" fillId="2" borderId="1" xfId="0" applyNumberFormat="1" applyFont="1" applyFill="1" applyBorder="1" applyAlignment="1">
      <alignment horizontal="center"/>
    </xf>
    <xf numFmtId="4" fontId="7" fillId="0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4" fontId="5" fillId="0" borderId="1" xfId="0" applyNumberFormat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center"/>
    </xf>
    <xf numFmtId="4" fontId="5" fillId="0" borderId="1" xfId="0" applyNumberFormat="1" applyFont="1" applyBorder="1" applyAlignment="1">
      <alignment horizontal="center" vertical="top"/>
    </xf>
    <xf numFmtId="4" fontId="5" fillId="0" borderId="1" xfId="0" applyNumberFormat="1" applyFont="1" applyBorder="1" applyAlignment="1">
      <alignment horizontal="center" vertical="top" wrapText="1"/>
    </xf>
    <xf numFmtId="4" fontId="3" fillId="2" borderId="1" xfId="0" applyNumberFormat="1" applyFont="1" applyFill="1" applyBorder="1" applyAlignment="1">
      <alignment horizontal="center"/>
    </xf>
    <xf numFmtId="4" fontId="4" fillId="0" borderId="1" xfId="0" applyNumberFormat="1" applyFont="1" applyFill="1" applyBorder="1" applyAlignment="1">
      <alignment horizontal="center" vertical="top"/>
    </xf>
    <xf numFmtId="4" fontId="7" fillId="0" borderId="1" xfId="0" applyNumberFormat="1" applyFont="1" applyFill="1" applyBorder="1" applyAlignment="1">
      <alignment horizontal="center" vertical="top"/>
    </xf>
    <xf numFmtId="164" fontId="9" fillId="2" borderId="1" xfId="0" applyNumberFormat="1" applyFont="1" applyFill="1" applyBorder="1" applyAlignment="1">
      <alignment horizontal="center"/>
    </xf>
    <xf numFmtId="4" fontId="4" fillId="2" borderId="1" xfId="0" applyNumberFormat="1" applyFont="1" applyFill="1" applyBorder="1" applyAlignment="1">
      <alignment horizontal="center" vertical="top"/>
    </xf>
    <xf numFmtId="164" fontId="10" fillId="2" borderId="1" xfId="0" applyNumberFormat="1" applyFont="1" applyFill="1" applyBorder="1" applyAlignment="1">
      <alignment horizontal="center"/>
    </xf>
    <xf numFmtId="4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Fill="1" applyBorder="1" applyAlignment="1">
      <alignment horizontal="left" vertical="top"/>
    </xf>
    <xf numFmtId="164" fontId="3" fillId="0" borderId="0" xfId="0" applyNumberFormat="1" applyFont="1" applyAlignment="1"/>
    <xf numFmtId="4" fontId="4" fillId="0" borderId="1" xfId="0" applyNumberFormat="1" applyFont="1" applyFill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left" vertical="top"/>
    </xf>
    <xf numFmtId="4" fontId="4" fillId="2" borderId="1" xfId="0" applyNumberFormat="1" applyFont="1" applyFill="1" applyBorder="1" applyAlignment="1">
      <alignment horizontal="center" vertical="center"/>
    </xf>
    <xf numFmtId="4" fontId="4" fillId="0" borderId="1" xfId="0" applyNumberFormat="1" applyFont="1" applyBorder="1" applyAlignment="1">
      <alignment horizontal="center" vertical="center"/>
    </xf>
    <xf numFmtId="4" fontId="7" fillId="0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" fontId="4" fillId="0" borderId="1" xfId="0" applyNumberFormat="1" applyFont="1" applyBorder="1" applyAlignment="1">
      <alignment horizontal="left" vertical="top"/>
    </xf>
    <xf numFmtId="0" fontId="11" fillId="0" borderId="0" xfId="0" applyFont="1"/>
    <xf numFmtId="0" fontId="3" fillId="0" borderId="0" xfId="0" applyFont="1" applyBorder="1" applyAlignment="1"/>
    <xf numFmtId="0" fontId="3" fillId="0" borderId="0" xfId="0" applyFont="1" applyBorder="1" applyAlignment="1">
      <alignment horizontal="center" vertical="center"/>
    </xf>
    <xf numFmtId="0" fontId="12" fillId="0" borderId="0" xfId="0" applyFont="1"/>
    <xf numFmtId="0" fontId="13" fillId="0" borderId="0" xfId="0" applyFont="1" applyAlignment="1">
      <alignment horizontal="right"/>
    </xf>
    <xf numFmtId="0" fontId="1" fillId="0" borderId="0" xfId="0" applyFont="1" applyBorder="1" applyAlignment="1">
      <alignment horizontal="center"/>
    </xf>
    <xf numFmtId="4" fontId="1" fillId="0" borderId="1" xfId="0" applyNumberFormat="1" applyFont="1" applyBorder="1" applyAlignment="1">
      <alignment horizontal="center" vertical="center"/>
    </xf>
    <xf numFmtId="4" fontId="1" fillId="0" borderId="3" xfId="0" applyNumberFormat="1" applyFont="1" applyBorder="1" applyAlignment="1">
      <alignment horizontal="center" vertical="center"/>
    </xf>
    <xf numFmtId="4" fontId="1" fillId="0" borderId="2" xfId="0" applyNumberFormat="1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center" vertical="center" wrapText="1"/>
    </xf>
    <xf numFmtId="4" fontId="4" fillId="0" borderId="5" xfId="0" applyNumberFormat="1" applyFont="1" applyBorder="1" applyAlignment="1">
      <alignment horizontal="center" vertical="center" wrapText="1"/>
    </xf>
    <xf numFmtId="4" fontId="4" fillId="2" borderId="4" xfId="0" applyNumberFormat="1" applyFont="1" applyFill="1" applyBorder="1" applyAlignment="1">
      <alignment horizontal="center" vertical="center" wrapText="1"/>
    </xf>
    <xf numFmtId="4" fontId="4" fillId="2" borderId="5" xfId="0" applyNumberFormat="1" applyFont="1" applyFill="1" applyBorder="1" applyAlignment="1">
      <alignment horizontal="center" vertical="center" wrapText="1"/>
    </xf>
    <xf numFmtId="4" fontId="4" fillId="2" borderId="6" xfId="0" applyNumberFormat="1" applyFont="1" applyFill="1" applyBorder="1" applyAlignment="1">
      <alignment horizontal="center" vertical="center" wrapText="1"/>
    </xf>
    <xf numFmtId="4" fontId="3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center" vertical="top"/>
    </xf>
    <xf numFmtId="4" fontId="4" fillId="0" borderId="1" xfId="0" applyNumberFormat="1" applyFont="1" applyBorder="1" applyAlignment="1">
      <alignment horizontal="center" vertical="top" wrapText="1"/>
    </xf>
    <xf numFmtId="4" fontId="3" fillId="0" borderId="1" xfId="0" applyNumberFormat="1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left" vertical="top"/>
    </xf>
    <xf numFmtId="4" fontId="4" fillId="0" borderId="1" xfId="0" applyNumberFormat="1" applyFont="1" applyBorder="1" applyAlignment="1">
      <alignment horizontal="left" vertical="center" wrapText="1"/>
    </xf>
    <xf numFmtId="4" fontId="4" fillId="0" borderId="3" xfId="0" applyNumberFormat="1" applyFont="1" applyBorder="1" applyAlignment="1">
      <alignment horizontal="left" vertical="top"/>
    </xf>
    <xf numFmtId="4" fontId="4" fillId="0" borderId="8" xfId="0" applyNumberFormat="1" applyFont="1" applyBorder="1" applyAlignment="1">
      <alignment horizontal="left" vertical="top"/>
    </xf>
    <xf numFmtId="4" fontId="4" fillId="0" borderId="9" xfId="0" applyNumberFormat="1" applyFont="1" applyBorder="1" applyAlignment="1">
      <alignment horizontal="left" vertical="top"/>
    </xf>
    <xf numFmtId="49" fontId="14" fillId="0" borderId="0" xfId="0" applyNumberFormat="1" applyFont="1" applyProtection="1"/>
    <xf numFmtId="49" fontId="0" fillId="0" borderId="0" xfId="0" applyNumberFormat="1" applyProtection="1"/>
    <xf numFmtId="49" fontId="0" fillId="0" borderId="0" xfId="0" applyNumberFormat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S49"/>
  <sheetViews>
    <sheetView tabSelected="1" view="pageBreakPreview" zoomScaleNormal="100" zoomScaleSheetLayoutView="100" workbookViewId="0">
      <pane xSplit="6" ySplit="9" topLeftCell="AF31" activePane="bottomRight" state="frozen"/>
      <selection pane="topRight" activeCell="CV1" sqref="CV1"/>
      <selection pane="bottomLeft" activeCell="A29" sqref="A29"/>
      <selection pane="bottomRight" activeCell="AK53" sqref="AK53"/>
    </sheetView>
  </sheetViews>
  <sheetFormatPr defaultRowHeight="12.75"/>
  <cols>
    <col min="1" max="6" width="9.140625" style="3"/>
    <col min="7" max="7" width="21" style="3" customWidth="1"/>
    <col min="8" max="8" width="5.7109375" style="2" customWidth="1"/>
    <col min="9" max="9" width="9.28515625" style="2" customWidth="1"/>
    <col min="10" max="10" width="21" style="3" customWidth="1"/>
    <col min="11" max="11" width="5.7109375" style="2" customWidth="1"/>
    <col min="12" max="17" width="9.28515625" style="2" customWidth="1"/>
    <col min="18" max="18" width="21" style="2" customWidth="1"/>
    <col min="19" max="19" width="5.7109375" style="2" customWidth="1"/>
    <col min="20" max="21" width="9.28515625" style="2" customWidth="1"/>
    <col min="22" max="22" width="8.85546875" style="2" bestFit="1" customWidth="1"/>
    <col min="23" max="24" width="9.28515625" style="2" customWidth="1"/>
    <col min="25" max="25" width="8.85546875" style="2" bestFit="1" customWidth="1"/>
    <col min="26" max="26" width="21" style="2" customWidth="1"/>
    <col min="27" max="27" width="5.7109375" style="2" customWidth="1"/>
    <col min="28" max="28" width="9.85546875" style="2" bestFit="1" customWidth="1"/>
    <col min="29" max="29" width="21" style="2" customWidth="1"/>
    <col min="30" max="30" width="5.7109375" style="2" customWidth="1"/>
    <col min="31" max="36" width="9.85546875" style="2" bestFit="1" customWidth="1"/>
    <col min="37" max="37" width="21.42578125" style="3" customWidth="1"/>
    <col min="38" max="97" width="9.140625" style="3"/>
  </cols>
  <sheetData>
    <row r="1" spans="1:41" ht="16.5" customHeight="1">
      <c r="A1" s="48" t="s">
        <v>0</v>
      </c>
      <c r="B1" s="48"/>
      <c r="C1" s="48"/>
      <c r="D1" s="48"/>
      <c r="E1" s="48"/>
      <c r="F1" s="48"/>
      <c r="G1" s="48"/>
      <c r="H1" s="48"/>
      <c r="I1" s="1"/>
      <c r="J1" s="2"/>
      <c r="L1" s="47"/>
      <c r="N1" s="67" t="s">
        <v>79</v>
      </c>
      <c r="O1" s="68"/>
      <c r="P1" s="68"/>
      <c r="Q1" s="69"/>
    </row>
    <row r="2" spans="1:41" ht="16.5" customHeight="1">
      <c r="A2" s="48" t="s">
        <v>1</v>
      </c>
      <c r="B2" s="48"/>
      <c r="C2" s="48"/>
      <c r="D2" s="48"/>
      <c r="E2" s="48"/>
      <c r="F2" s="48"/>
      <c r="G2" s="48"/>
      <c r="H2" s="48"/>
      <c r="J2" s="2"/>
      <c r="L2" s="47"/>
      <c r="N2" s="68" t="s">
        <v>77</v>
      </c>
      <c r="O2" s="68"/>
      <c r="P2" s="68"/>
      <c r="Q2" s="69"/>
    </row>
    <row r="3" spans="1:41" ht="16.5" customHeight="1">
      <c r="A3" s="48" t="s">
        <v>2</v>
      </c>
      <c r="B3" s="48"/>
      <c r="C3" s="48"/>
      <c r="D3" s="48"/>
      <c r="E3" s="48"/>
      <c r="F3" s="48"/>
      <c r="G3" s="48"/>
      <c r="H3" s="48"/>
      <c r="J3" s="2"/>
      <c r="L3" s="47"/>
      <c r="N3" s="68" t="s">
        <v>78</v>
      </c>
      <c r="O3" s="68"/>
      <c r="P3" s="68"/>
      <c r="Q3" s="69"/>
    </row>
    <row r="4" spans="1:41" ht="16.5" customHeight="1">
      <c r="A4" s="48" t="s">
        <v>3</v>
      </c>
      <c r="B4" s="48"/>
      <c r="C4" s="48"/>
      <c r="D4" s="48"/>
      <c r="E4" s="48"/>
      <c r="F4" s="48"/>
      <c r="G4" s="48"/>
      <c r="H4" s="48"/>
      <c r="J4" s="2"/>
    </row>
    <row r="5" spans="1:41" ht="16.5" customHeight="1">
      <c r="A5" s="4"/>
      <c r="B5" s="4"/>
      <c r="C5" s="4"/>
      <c r="D5" s="4"/>
      <c r="E5" s="4"/>
      <c r="F5" s="4"/>
      <c r="G5" s="4"/>
      <c r="H5" s="5"/>
      <c r="J5" s="4"/>
      <c r="K5" s="5"/>
      <c r="R5" s="5"/>
      <c r="S5" s="5"/>
      <c r="V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</row>
    <row r="6" spans="1:41">
      <c r="A6" s="6" t="s">
        <v>75</v>
      </c>
      <c r="B6" s="6" t="s">
        <v>4</v>
      </c>
    </row>
    <row r="7" spans="1:41" ht="18" customHeight="1">
      <c r="A7" s="49" t="s">
        <v>5</v>
      </c>
      <c r="B7" s="49"/>
      <c r="C7" s="49"/>
      <c r="D7" s="49"/>
      <c r="E7" s="49"/>
      <c r="F7" s="49"/>
      <c r="G7" s="51" t="s">
        <v>6</v>
      </c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7"/>
    </row>
    <row r="8" spans="1:41" ht="35.85" customHeight="1">
      <c r="A8" s="49"/>
      <c r="B8" s="49"/>
      <c r="C8" s="49"/>
      <c r="D8" s="49"/>
      <c r="E8" s="49"/>
      <c r="F8" s="50"/>
      <c r="G8" s="53" t="s">
        <v>7</v>
      </c>
      <c r="H8" s="54"/>
      <c r="I8" s="54"/>
      <c r="J8" s="53" t="s">
        <v>7</v>
      </c>
      <c r="K8" s="54"/>
      <c r="L8" s="54"/>
      <c r="M8" s="54"/>
      <c r="N8" s="54"/>
      <c r="O8" s="54"/>
      <c r="P8" s="54"/>
      <c r="Q8" s="54"/>
      <c r="R8" s="55" t="s">
        <v>8</v>
      </c>
      <c r="S8" s="56"/>
      <c r="T8" s="56"/>
      <c r="U8" s="56"/>
      <c r="V8" s="56"/>
      <c r="W8" s="56"/>
      <c r="X8" s="56"/>
      <c r="Y8" s="56"/>
      <c r="Z8" s="55" t="s">
        <v>9</v>
      </c>
      <c r="AA8" s="56"/>
      <c r="AB8" s="57"/>
      <c r="AC8" s="55" t="s">
        <v>10</v>
      </c>
      <c r="AD8" s="56"/>
      <c r="AE8" s="56"/>
      <c r="AF8" s="56"/>
      <c r="AG8" s="56"/>
      <c r="AH8" s="56"/>
      <c r="AI8" s="56"/>
      <c r="AJ8" s="8"/>
      <c r="AK8" s="55" t="s">
        <v>11</v>
      </c>
      <c r="AL8" s="56"/>
      <c r="AM8" s="56"/>
      <c r="AN8" s="56"/>
      <c r="AO8" s="56"/>
    </row>
    <row r="9" spans="1:41" s="14" customFormat="1" ht="45">
      <c r="A9" s="49"/>
      <c r="B9" s="49"/>
      <c r="C9" s="49"/>
      <c r="D9" s="49"/>
      <c r="E9" s="49"/>
      <c r="F9" s="49"/>
      <c r="G9" s="9" t="s">
        <v>12</v>
      </c>
      <c r="H9" s="10" t="s">
        <v>13</v>
      </c>
      <c r="I9" s="11" t="s">
        <v>14</v>
      </c>
      <c r="J9" s="9" t="s">
        <v>12</v>
      </c>
      <c r="K9" s="10" t="s">
        <v>13</v>
      </c>
      <c r="L9" s="11" t="s">
        <v>15</v>
      </c>
      <c r="M9" s="11" t="s">
        <v>16</v>
      </c>
      <c r="N9" s="11" t="s">
        <v>17</v>
      </c>
      <c r="O9" s="11" t="s">
        <v>18</v>
      </c>
      <c r="P9" s="11" t="s">
        <v>19</v>
      </c>
      <c r="Q9" s="11" t="s">
        <v>20</v>
      </c>
      <c r="R9" s="12" t="s">
        <v>12</v>
      </c>
      <c r="S9" s="10" t="s">
        <v>13</v>
      </c>
      <c r="T9" s="11" t="s">
        <v>21</v>
      </c>
      <c r="U9" s="11" t="s">
        <v>22</v>
      </c>
      <c r="V9" s="11" t="s">
        <v>23</v>
      </c>
      <c r="W9" s="11" t="s">
        <v>24</v>
      </c>
      <c r="X9" s="11" t="s">
        <v>25</v>
      </c>
      <c r="Y9" s="11" t="s">
        <v>26</v>
      </c>
      <c r="Z9" s="12" t="s">
        <v>12</v>
      </c>
      <c r="AA9" s="10" t="s">
        <v>13</v>
      </c>
      <c r="AB9" s="11" t="s">
        <v>27</v>
      </c>
      <c r="AC9" s="12" t="s">
        <v>12</v>
      </c>
      <c r="AD9" s="10" t="s">
        <v>13</v>
      </c>
      <c r="AE9" s="11" t="s">
        <v>28</v>
      </c>
      <c r="AF9" s="11" t="s">
        <v>29</v>
      </c>
      <c r="AG9" s="11" t="s">
        <v>30</v>
      </c>
      <c r="AH9" s="11" t="s">
        <v>31</v>
      </c>
      <c r="AI9" s="11" t="s">
        <v>32</v>
      </c>
      <c r="AJ9" s="11" t="s">
        <v>33</v>
      </c>
      <c r="AK9" s="12" t="s">
        <v>12</v>
      </c>
      <c r="AL9" s="10" t="s">
        <v>13</v>
      </c>
      <c r="AM9" s="13" t="s">
        <v>34</v>
      </c>
      <c r="AN9" s="13" t="s">
        <v>35</v>
      </c>
      <c r="AO9" s="13" t="s">
        <v>36</v>
      </c>
    </row>
    <row r="10" spans="1:41">
      <c r="A10" s="59" t="s">
        <v>37</v>
      </c>
      <c r="B10" s="59"/>
      <c r="C10" s="59"/>
      <c r="D10" s="59"/>
      <c r="E10" s="59"/>
      <c r="F10" s="59"/>
      <c r="G10" s="15"/>
      <c r="H10" s="16">
        <f t="shared" ref="H10:I10" si="0">SUM(H11:H14)</f>
        <v>0</v>
      </c>
      <c r="I10" s="17">
        <f t="shared" si="0"/>
        <v>0</v>
      </c>
      <c r="J10" s="15"/>
      <c r="K10" s="16">
        <f t="shared" ref="K10:Q10" si="1">SUM(K11:K14)</f>
        <v>0</v>
      </c>
      <c r="L10" s="17">
        <f t="shared" si="1"/>
        <v>0</v>
      </c>
      <c r="M10" s="17">
        <f t="shared" si="1"/>
        <v>0</v>
      </c>
      <c r="N10" s="17">
        <f t="shared" si="1"/>
        <v>0</v>
      </c>
      <c r="O10" s="17">
        <f t="shared" si="1"/>
        <v>0</v>
      </c>
      <c r="P10" s="17">
        <f t="shared" si="1"/>
        <v>0</v>
      </c>
      <c r="Q10" s="17">
        <f t="shared" si="1"/>
        <v>0</v>
      </c>
      <c r="R10" s="15"/>
      <c r="S10" s="18">
        <f>SUM(S11:S14)</f>
        <v>0</v>
      </c>
      <c r="T10" s="17">
        <f t="shared" ref="T10:X10" si="2">SUM(T11:T14)</f>
        <v>0</v>
      </c>
      <c r="U10" s="17">
        <f t="shared" si="2"/>
        <v>0</v>
      </c>
      <c r="V10" s="17">
        <f t="shared" si="2"/>
        <v>0</v>
      </c>
      <c r="W10" s="17">
        <f t="shared" si="2"/>
        <v>0</v>
      </c>
      <c r="X10" s="17">
        <f t="shared" si="2"/>
        <v>0</v>
      </c>
      <c r="Y10" s="17">
        <f>SUM(Y11:Y14)</f>
        <v>0</v>
      </c>
      <c r="Z10" s="15"/>
      <c r="AA10" s="18">
        <f>SUM(AA11:AA14)</f>
        <v>0</v>
      </c>
      <c r="AB10" s="17">
        <f>SUM(AB11:AB14)</f>
        <v>0</v>
      </c>
      <c r="AC10" s="15"/>
      <c r="AD10" s="16">
        <f t="shared" ref="AD10:AJ10" si="3">SUM(AD11:AD14)</f>
        <v>0</v>
      </c>
      <c r="AE10" s="17">
        <f t="shared" si="3"/>
        <v>0</v>
      </c>
      <c r="AF10" s="17">
        <f t="shared" si="3"/>
        <v>0</v>
      </c>
      <c r="AG10" s="17">
        <f t="shared" si="3"/>
        <v>0</v>
      </c>
      <c r="AH10" s="17">
        <f t="shared" si="3"/>
        <v>0</v>
      </c>
      <c r="AI10" s="17">
        <f t="shared" si="3"/>
        <v>0</v>
      </c>
      <c r="AJ10" s="17">
        <f t="shared" si="3"/>
        <v>0</v>
      </c>
      <c r="AK10" s="15"/>
      <c r="AL10" s="19">
        <v>0</v>
      </c>
      <c r="AM10" s="17">
        <f>SUM(AM11:AM14)</f>
        <v>0</v>
      </c>
      <c r="AN10" s="17">
        <f>SUM(AN11:AN14)</f>
        <v>0</v>
      </c>
      <c r="AO10" s="17">
        <f>SUM(AO11:AO14)</f>
        <v>0</v>
      </c>
    </row>
    <row r="11" spans="1:41">
      <c r="A11" s="58" t="s">
        <v>38</v>
      </c>
      <c r="B11" s="58"/>
      <c r="C11" s="58"/>
      <c r="D11" s="58"/>
      <c r="E11" s="58"/>
      <c r="F11" s="58"/>
      <c r="G11" s="20" t="s">
        <v>39</v>
      </c>
      <c r="H11" s="21">
        <v>0</v>
      </c>
      <c r="I11" s="22">
        <v>0</v>
      </c>
      <c r="J11" s="20" t="s">
        <v>39</v>
      </c>
      <c r="K11" s="21">
        <v>0</v>
      </c>
      <c r="L11" s="22">
        <v>0</v>
      </c>
      <c r="M11" s="22">
        <v>0</v>
      </c>
      <c r="N11" s="22">
        <v>0</v>
      </c>
      <c r="O11" s="22">
        <v>0</v>
      </c>
      <c r="P11" s="22">
        <v>0</v>
      </c>
      <c r="Q11" s="22">
        <v>0</v>
      </c>
      <c r="R11" s="20" t="s">
        <v>39</v>
      </c>
      <c r="S11" s="23">
        <v>0</v>
      </c>
      <c r="T11" s="22">
        <v>0</v>
      </c>
      <c r="U11" s="22">
        <v>0</v>
      </c>
      <c r="V11" s="22">
        <v>0</v>
      </c>
      <c r="W11" s="22">
        <v>0</v>
      </c>
      <c r="X11" s="22">
        <v>0</v>
      </c>
      <c r="Y11" s="22">
        <v>0</v>
      </c>
      <c r="Z11" s="20" t="s">
        <v>39</v>
      </c>
      <c r="AA11" s="23">
        <v>0</v>
      </c>
      <c r="AB11" s="22">
        <v>0</v>
      </c>
      <c r="AC11" s="20" t="s">
        <v>39</v>
      </c>
      <c r="AD11" s="21">
        <v>0</v>
      </c>
      <c r="AE11" s="22">
        <v>0</v>
      </c>
      <c r="AF11" s="22">
        <v>0</v>
      </c>
      <c r="AG11" s="22">
        <v>0</v>
      </c>
      <c r="AH11" s="22">
        <v>0</v>
      </c>
      <c r="AI11" s="22">
        <v>0</v>
      </c>
      <c r="AJ11" s="22">
        <v>0</v>
      </c>
      <c r="AK11" s="20" t="s">
        <v>39</v>
      </c>
      <c r="AL11" s="24">
        <v>0</v>
      </c>
      <c r="AM11" s="22">
        <v>0</v>
      </c>
      <c r="AN11" s="22">
        <v>0</v>
      </c>
      <c r="AO11" s="22">
        <v>0</v>
      </c>
    </row>
    <row r="12" spans="1:41">
      <c r="A12" s="58" t="s">
        <v>40</v>
      </c>
      <c r="B12" s="58"/>
      <c r="C12" s="58"/>
      <c r="D12" s="58"/>
      <c r="E12" s="58"/>
      <c r="F12" s="58"/>
      <c r="G12" s="20" t="s">
        <v>39</v>
      </c>
      <c r="H12" s="21">
        <v>0</v>
      </c>
      <c r="I12" s="22">
        <v>0</v>
      </c>
      <c r="J12" s="20" t="s">
        <v>39</v>
      </c>
      <c r="K12" s="21">
        <v>0</v>
      </c>
      <c r="L12" s="22">
        <v>0</v>
      </c>
      <c r="M12" s="22">
        <v>0</v>
      </c>
      <c r="N12" s="22">
        <v>0</v>
      </c>
      <c r="O12" s="22">
        <v>0</v>
      </c>
      <c r="P12" s="22">
        <v>0</v>
      </c>
      <c r="Q12" s="22">
        <v>0</v>
      </c>
      <c r="R12" s="20" t="s">
        <v>39</v>
      </c>
      <c r="S12" s="23">
        <v>0</v>
      </c>
      <c r="T12" s="22">
        <v>0</v>
      </c>
      <c r="U12" s="22">
        <v>0</v>
      </c>
      <c r="V12" s="22">
        <v>0</v>
      </c>
      <c r="W12" s="22">
        <v>0</v>
      </c>
      <c r="X12" s="22">
        <v>0</v>
      </c>
      <c r="Y12" s="22">
        <v>0</v>
      </c>
      <c r="Z12" s="20" t="s">
        <v>39</v>
      </c>
      <c r="AA12" s="23">
        <v>0</v>
      </c>
      <c r="AB12" s="22">
        <v>0</v>
      </c>
      <c r="AC12" s="20" t="s">
        <v>39</v>
      </c>
      <c r="AD12" s="21">
        <v>0</v>
      </c>
      <c r="AE12" s="22">
        <v>0</v>
      </c>
      <c r="AF12" s="22">
        <v>0</v>
      </c>
      <c r="AG12" s="22">
        <v>0</v>
      </c>
      <c r="AH12" s="22">
        <v>0</v>
      </c>
      <c r="AI12" s="22">
        <v>0</v>
      </c>
      <c r="AJ12" s="22">
        <v>0</v>
      </c>
      <c r="AK12" s="20" t="s">
        <v>39</v>
      </c>
      <c r="AL12" s="24">
        <v>0</v>
      </c>
      <c r="AM12" s="22">
        <v>0</v>
      </c>
      <c r="AN12" s="22">
        <v>0</v>
      </c>
      <c r="AO12" s="22">
        <v>0</v>
      </c>
    </row>
    <row r="13" spans="1:41">
      <c r="A13" s="58" t="s">
        <v>41</v>
      </c>
      <c r="B13" s="58"/>
      <c r="C13" s="58"/>
      <c r="D13" s="58"/>
      <c r="E13" s="58"/>
      <c r="F13" s="58"/>
      <c r="G13" s="20" t="s">
        <v>39</v>
      </c>
      <c r="H13" s="21">
        <v>0</v>
      </c>
      <c r="I13" s="22">
        <v>0</v>
      </c>
      <c r="J13" s="20" t="s">
        <v>39</v>
      </c>
      <c r="K13" s="21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  <c r="Q13" s="22">
        <v>0</v>
      </c>
      <c r="R13" s="20" t="s">
        <v>39</v>
      </c>
      <c r="S13" s="23">
        <v>0</v>
      </c>
      <c r="T13" s="22">
        <v>0</v>
      </c>
      <c r="U13" s="22">
        <v>0</v>
      </c>
      <c r="V13" s="22">
        <v>0</v>
      </c>
      <c r="W13" s="22">
        <v>0</v>
      </c>
      <c r="X13" s="22">
        <v>0</v>
      </c>
      <c r="Y13" s="22">
        <v>0</v>
      </c>
      <c r="Z13" s="20" t="s">
        <v>39</v>
      </c>
      <c r="AA13" s="23">
        <v>0</v>
      </c>
      <c r="AB13" s="22">
        <v>0</v>
      </c>
      <c r="AC13" s="20" t="s">
        <v>39</v>
      </c>
      <c r="AD13" s="21">
        <v>0</v>
      </c>
      <c r="AE13" s="22">
        <v>0</v>
      </c>
      <c r="AF13" s="22">
        <v>0</v>
      </c>
      <c r="AG13" s="22">
        <v>0</v>
      </c>
      <c r="AH13" s="22">
        <v>0</v>
      </c>
      <c r="AI13" s="22">
        <v>0</v>
      </c>
      <c r="AJ13" s="22">
        <v>0</v>
      </c>
      <c r="AK13" s="20" t="s">
        <v>39</v>
      </c>
      <c r="AL13" s="24">
        <v>0</v>
      </c>
      <c r="AM13" s="22">
        <v>0</v>
      </c>
      <c r="AN13" s="22">
        <v>0</v>
      </c>
      <c r="AO13" s="22">
        <v>0</v>
      </c>
    </row>
    <row r="14" spans="1:41">
      <c r="A14" s="58" t="s">
        <v>42</v>
      </c>
      <c r="B14" s="58"/>
      <c r="C14" s="58"/>
      <c r="D14" s="58"/>
      <c r="E14" s="58"/>
      <c r="F14" s="58"/>
      <c r="G14" s="20" t="s">
        <v>43</v>
      </c>
      <c r="H14" s="21">
        <v>0</v>
      </c>
      <c r="I14" s="22">
        <v>0</v>
      </c>
      <c r="J14" s="20" t="s">
        <v>43</v>
      </c>
      <c r="K14" s="21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  <c r="Q14" s="22">
        <v>0</v>
      </c>
      <c r="R14" s="20" t="s">
        <v>43</v>
      </c>
      <c r="S14" s="23">
        <v>0</v>
      </c>
      <c r="T14" s="22">
        <v>0</v>
      </c>
      <c r="U14" s="22">
        <v>0</v>
      </c>
      <c r="V14" s="22">
        <v>0</v>
      </c>
      <c r="W14" s="22">
        <v>0</v>
      </c>
      <c r="X14" s="22">
        <v>0</v>
      </c>
      <c r="Y14" s="22">
        <v>0</v>
      </c>
      <c r="Z14" s="20" t="s">
        <v>43</v>
      </c>
      <c r="AA14" s="23">
        <v>0</v>
      </c>
      <c r="AB14" s="22">
        <v>0</v>
      </c>
      <c r="AC14" s="20" t="s">
        <v>43</v>
      </c>
      <c r="AD14" s="21">
        <v>0</v>
      </c>
      <c r="AE14" s="22">
        <v>0</v>
      </c>
      <c r="AF14" s="22">
        <v>0</v>
      </c>
      <c r="AG14" s="22">
        <v>0</v>
      </c>
      <c r="AH14" s="22">
        <v>0</v>
      </c>
      <c r="AI14" s="22">
        <v>0</v>
      </c>
      <c r="AJ14" s="22">
        <v>0</v>
      </c>
      <c r="AK14" s="20" t="s">
        <v>43</v>
      </c>
      <c r="AL14" s="24">
        <v>0</v>
      </c>
      <c r="AM14" s="22">
        <v>0</v>
      </c>
      <c r="AN14" s="22">
        <v>0</v>
      </c>
      <c r="AO14" s="22">
        <v>0</v>
      </c>
    </row>
    <row r="15" spans="1:41" ht="23.85" customHeight="1">
      <c r="A15" s="60" t="s">
        <v>44</v>
      </c>
      <c r="B15" s="60"/>
      <c r="C15" s="60"/>
      <c r="D15" s="60"/>
      <c r="E15" s="60"/>
      <c r="F15" s="60"/>
      <c r="G15" s="25"/>
      <c r="H15" s="16">
        <f>SUM(H16:H23)</f>
        <v>5.8685000000000027</v>
      </c>
      <c r="I15" s="17">
        <f t="shared" ref="I15" si="4">SUM(I16:I23)</f>
        <v>32844.820800000009</v>
      </c>
      <c r="J15" s="25"/>
      <c r="K15" s="16">
        <f>SUM(K16:K23)</f>
        <v>5.8685000000000027</v>
      </c>
      <c r="L15" s="17">
        <f t="shared" ref="L15:Q15" si="5">SUM(L16:L23)</f>
        <v>42161.651400000017</v>
      </c>
      <c r="M15" s="17">
        <f t="shared" si="5"/>
        <v>31380.043200000011</v>
      </c>
      <c r="N15" s="17">
        <f t="shared" si="5"/>
        <v>33485.661000000007</v>
      </c>
      <c r="O15" s="17">
        <f t="shared" si="5"/>
        <v>41344.756200000011</v>
      </c>
      <c r="P15" s="17">
        <f t="shared" si="5"/>
        <v>23971.648800000006</v>
      </c>
      <c r="Q15" s="17">
        <f t="shared" si="5"/>
        <v>39379.982400000015</v>
      </c>
      <c r="R15" s="25"/>
      <c r="S15" s="18">
        <f>SUM(S16:S23)</f>
        <v>5.8685000000000027</v>
      </c>
      <c r="T15" s="19">
        <f t="shared" ref="T15:X15" si="6">SUM(T16:T23)</f>
        <v>29344.847400000006</v>
      </c>
      <c r="U15" s="19">
        <f t="shared" si="6"/>
        <v>22999.825200000007</v>
      </c>
      <c r="V15" s="17">
        <f t="shared" si="6"/>
        <v>28260.348600000005</v>
      </c>
      <c r="W15" s="19">
        <f t="shared" si="6"/>
        <v>22816.728000000003</v>
      </c>
      <c r="X15" s="19">
        <f t="shared" si="6"/>
        <v>36541.975800000007</v>
      </c>
      <c r="Y15" s="17">
        <f>SUM(Y16:Y23)</f>
        <v>27070.216800000009</v>
      </c>
      <c r="Z15" s="25"/>
      <c r="AA15" s="18">
        <f>SUM(AA16:AA23)</f>
        <v>5.8685000000000027</v>
      </c>
      <c r="AB15" s="19">
        <f>SUM(AB16:AB23)</f>
        <v>29943.434400000009</v>
      </c>
      <c r="AC15" s="25"/>
      <c r="AD15" s="16">
        <f t="shared" ref="AD15:AJ15" si="7">SUM(AD16:AD23)</f>
        <v>10.248700000000001</v>
      </c>
      <c r="AE15" s="19">
        <f t="shared" si="7"/>
        <v>19579.116480000001</v>
      </c>
      <c r="AF15" s="19">
        <f t="shared" si="7"/>
        <v>10982.50692</v>
      </c>
      <c r="AG15" s="19">
        <f t="shared" si="7"/>
        <v>11474.444520000001</v>
      </c>
      <c r="AH15" s="19">
        <f t="shared" si="7"/>
        <v>28089.636960000003</v>
      </c>
      <c r="AI15" s="19">
        <f t="shared" si="7"/>
        <v>12359.932200000003</v>
      </c>
      <c r="AJ15" s="19">
        <f t="shared" si="7"/>
        <v>12618.199440000002</v>
      </c>
      <c r="AK15" s="25"/>
      <c r="AL15" s="19">
        <f>SUM(AL16:AL23)</f>
        <v>5.5055000000000014</v>
      </c>
      <c r="AM15" s="17">
        <f>SUM(AM16:AM23)</f>
        <v>31995.763800000008</v>
      </c>
      <c r="AN15" s="17">
        <f>SUM(AN16:AN23)</f>
        <v>38364.526200000015</v>
      </c>
      <c r="AO15" s="17">
        <f>SUM(AO16:AO23)</f>
        <v>33673.840200000006</v>
      </c>
    </row>
    <row r="16" spans="1:41">
      <c r="A16" s="58" t="s">
        <v>45</v>
      </c>
      <c r="B16" s="58"/>
      <c r="C16" s="58"/>
      <c r="D16" s="58"/>
      <c r="E16" s="58"/>
      <c r="F16" s="58"/>
      <c r="G16" s="20" t="s">
        <v>76</v>
      </c>
      <c r="H16" s="21">
        <f>0.19*1.1*1.1</f>
        <v>0.22990000000000005</v>
      </c>
      <c r="I16" s="22">
        <f t="shared" ref="I16" si="8">$H$16*I39*$B$45</f>
        <v>1286.7043200000003</v>
      </c>
      <c r="J16" s="20" t="s">
        <v>76</v>
      </c>
      <c r="K16" s="21">
        <f>0.19*1.1*$A$49</f>
        <v>0.22990000000000005</v>
      </c>
      <c r="L16" s="22">
        <f t="shared" ref="L16:Q16" si="9">$K$16*L39*$B$45</f>
        <v>1651.6935600000004</v>
      </c>
      <c r="M16" s="22">
        <f t="shared" si="9"/>
        <v>1229.3212800000003</v>
      </c>
      <c r="N16" s="22">
        <f t="shared" si="9"/>
        <v>1311.8094000000003</v>
      </c>
      <c r="O16" s="22">
        <f t="shared" si="9"/>
        <v>1619.6914800000004</v>
      </c>
      <c r="P16" s="22">
        <f t="shared" si="9"/>
        <v>939.09552000000008</v>
      </c>
      <c r="Q16" s="22">
        <f t="shared" si="9"/>
        <v>1542.7209600000003</v>
      </c>
      <c r="R16" s="20" t="s">
        <v>76</v>
      </c>
      <c r="S16" s="23">
        <f>0.19*1.1*1.1</f>
        <v>0.22990000000000005</v>
      </c>
      <c r="T16" s="22">
        <f t="shared" ref="T16:Y16" si="10">$S$16*T39*$B$45</f>
        <v>1149.5919600000002</v>
      </c>
      <c r="U16" s="22">
        <f t="shared" si="10"/>
        <v>901.02408000000014</v>
      </c>
      <c r="V16" s="22">
        <f t="shared" si="10"/>
        <v>1107.1064400000002</v>
      </c>
      <c r="W16" s="22">
        <f t="shared" si="10"/>
        <v>893.85120000000018</v>
      </c>
      <c r="X16" s="22">
        <f t="shared" si="10"/>
        <v>1431.5413200000003</v>
      </c>
      <c r="Y16" s="22">
        <f t="shared" si="10"/>
        <v>1060.4827200000002</v>
      </c>
      <c r="Z16" s="20" t="s">
        <v>76</v>
      </c>
      <c r="AA16" s="23">
        <f>0.19*1.1*1.1</f>
        <v>0.22990000000000005</v>
      </c>
      <c r="AB16" s="22">
        <f>$AA$16*AB39*$B$45</f>
        <v>1173.0417600000003</v>
      </c>
      <c r="AC16" s="20" t="s">
        <v>76</v>
      </c>
      <c r="AD16" s="21">
        <f>0.21*1.1*1.1</f>
        <v>0.25410000000000005</v>
      </c>
      <c r="AE16" s="22">
        <f t="shared" ref="AE16:AJ16" si="11">$AD$16*AE39*$B$45</f>
        <v>485.43264000000011</v>
      </c>
      <c r="AF16" s="22">
        <f t="shared" si="11"/>
        <v>272.29356000000007</v>
      </c>
      <c r="AG16" s="22">
        <f t="shared" si="11"/>
        <v>284.49036000000001</v>
      </c>
      <c r="AH16" s="22">
        <f t="shared" si="11"/>
        <v>696.4372800000001</v>
      </c>
      <c r="AI16" s="22">
        <f t="shared" si="11"/>
        <v>306.44460000000004</v>
      </c>
      <c r="AJ16" s="22">
        <f t="shared" si="11"/>
        <v>312.84792000000004</v>
      </c>
      <c r="AK16" s="20" t="s">
        <v>76</v>
      </c>
      <c r="AL16" s="21">
        <f>0.19*1.1*1.1</f>
        <v>0.22990000000000005</v>
      </c>
      <c r="AM16" s="22">
        <f>$AL$16*AM39*$B$45</f>
        <v>1336.0868400000004</v>
      </c>
      <c r="AN16" s="22">
        <f>$AL$16*AN39*$B$45</f>
        <v>1602.0351600000006</v>
      </c>
      <c r="AO16" s="22">
        <f>$AL$16*AO39*$B$45</f>
        <v>1406.1603600000003</v>
      </c>
    </row>
    <row r="17" spans="1:41">
      <c r="A17" s="58" t="s">
        <v>46</v>
      </c>
      <c r="B17" s="58"/>
      <c r="C17" s="58"/>
      <c r="D17" s="58"/>
      <c r="E17" s="58"/>
      <c r="F17" s="58"/>
      <c r="G17" s="20" t="s">
        <v>76</v>
      </c>
      <c r="H17" s="21">
        <f>0.36*1.1*1.1</f>
        <v>0.43560000000000004</v>
      </c>
      <c r="I17" s="22">
        <f t="shared" ref="I17" si="12">$H$17*I39*$B$45</f>
        <v>2437.9660800000001</v>
      </c>
      <c r="J17" s="20" t="s">
        <v>76</v>
      </c>
      <c r="K17" s="21">
        <f>0.36*1.1*1.1</f>
        <v>0.43560000000000004</v>
      </c>
      <c r="L17" s="22">
        <f t="shared" ref="L17:Q17" si="13">$K$17*L39*$B$45</f>
        <v>3129.5246400000005</v>
      </c>
      <c r="M17" s="22">
        <f t="shared" si="13"/>
        <v>2329.2403200000003</v>
      </c>
      <c r="N17" s="22">
        <f t="shared" si="13"/>
        <v>2485.5336000000002</v>
      </c>
      <c r="O17" s="22">
        <f t="shared" si="13"/>
        <v>3068.8891200000003</v>
      </c>
      <c r="P17" s="22">
        <f t="shared" si="13"/>
        <v>1779.3388800000002</v>
      </c>
      <c r="Q17" s="22">
        <f t="shared" si="13"/>
        <v>2923.0502400000005</v>
      </c>
      <c r="R17" s="20" t="s">
        <v>76</v>
      </c>
      <c r="S17" s="23">
        <f>0.36*1.1*1.1</f>
        <v>0.43560000000000004</v>
      </c>
      <c r="T17" s="22">
        <f t="shared" ref="T17:Y17" si="14">$S$17*T39*$B$45</f>
        <v>2178.1742400000003</v>
      </c>
      <c r="U17" s="22">
        <f t="shared" si="14"/>
        <v>1707.20352</v>
      </c>
      <c r="V17" s="22">
        <f t="shared" si="14"/>
        <v>2097.6753600000002</v>
      </c>
      <c r="W17" s="22">
        <f t="shared" si="14"/>
        <v>1693.6128000000003</v>
      </c>
      <c r="X17" s="22">
        <f t="shared" si="14"/>
        <v>2712.39408</v>
      </c>
      <c r="Y17" s="22">
        <f t="shared" si="14"/>
        <v>2009.3356799999999</v>
      </c>
      <c r="Z17" s="20" t="s">
        <v>76</v>
      </c>
      <c r="AA17" s="23">
        <f>0.36*1.1*1.1</f>
        <v>0.43560000000000004</v>
      </c>
      <c r="AB17" s="22">
        <f>$AA$17*AB39*$B$45</f>
        <v>2222.6054400000003</v>
      </c>
      <c r="AC17" s="20" t="s">
        <v>76</v>
      </c>
      <c r="AD17" s="21">
        <f>0.36*1.1*1.1</f>
        <v>0.43560000000000004</v>
      </c>
      <c r="AE17" s="22">
        <f t="shared" ref="AE17:AJ17" si="15">$AD$17*AE39*$B$45</f>
        <v>832.17024000000004</v>
      </c>
      <c r="AF17" s="22">
        <f t="shared" si="15"/>
        <v>466.78896000000009</v>
      </c>
      <c r="AG17" s="22">
        <f t="shared" si="15"/>
        <v>487.69776000000002</v>
      </c>
      <c r="AH17" s="22">
        <f t="shared" si="15"/>
        <v>1193.8924800000002</v>
      </c>
      <c r="AI17" s="22">
        <f t="shared" si="15"/>
        <v>525.33360000000005</v>
      </c>
      <c r="AJ17" s="22">
        <f t="shared" si="15"/>
        <v>536.31071999999995</v>
      </c>
      <c r="AK17" s="20" t="s">
        <v>76</v>
      </c>
      <c r="AL17" s="21">
        <f>0.26*1.1*1.1</f>
        <v>0.31460000000000005</v>
      </c>
      <c r="AM17" s="22">
        <f>$AL$17*AM39*$B$45</f>
        <v>1828.3293600000004</v>
      </c>
      <c r="AN17" s="22">
        <f>$AL$17*AN39*$B$45</f>
        <v>2192.2586400000005</v>
      </c>
      <c r="AO17" s="22">
        <f>$AL$17*AO39*$B$45</f>
        <v>1924.2194400000003</v>
      </c>
    </row>
    <row r="18" spans="1:41">
      <c r="A18" s="58" t="s">
        <v>47</v>
      </c>
      <c r="B18" s="58"/>
      <c r="C18" s="58"/>
      <c r="D18" s="58"/>
      <c r="E18" s="58"/>
      <c r="F18" s="58"/>
      <c r="G18" s="20" t="s">
        <v>76</v>
      </c>
      <c r="H18" s="21">
        <f>0.37*1.1*1.1</f>
        <v>0.44770000000000004</v>
      </c>
      <c r="I18" s="22">
        <f t="shared" ref="I18" si="16">$H$18*I39*$B$45</f>
        <v>2505.6873600000004</v>
      </c>
      <c r="J18" s="20" t="s">
        <v>76</v>
      </c>
      <c r="K18" s="21">
        <f>0.37*1.1*1.1</f>
        <v>0.44770000000000004</v>
      </c>
      <c r="L18" s="22">
        <f t="shared" ref="L18:Q18" si="17">$K$18*L39*$B$45</f>
        <v>3216.4558800000004</v>
      </c>
      <c r="M18" s="22">
        <f t="shared" si="17"/>
        <v>2393.9414400000005</v>
      </c>
      <c r="N18" s="22">
        <f t="shared" si="17"/>
        <v>2554.5762000000004</v>
      </c>
      <c r="O18" s="22">
        <f t="shared" si="17"/>
        <v>3154.1360400000003</v>
      </c>
      <c r="P18" s="22">
        <f t="shared" si="17"/>
        <v>1828.7649600000002</v>
      </c>
      <c r="Q18" s="22">
        <f t="shared" si="17"/>
        <v>3004.2460800000008</v>
      </c>
      <c r="R18" s="20" t="s">
        <v>76</v>
      </c>
      <c r="S18" s="23">
        <f>0.37*1.1*1.1</f>
        <v>0.44770000000000004</v>
      </c>
      <c r="T18" s="22">
        <f t="shared" ref="T18:Y18" si="18">$S$18*T39*$B$45</f>
        <v>2238.6790799999999</v>
      </c>
      <c r="U18" s="22">
        <f t="shared" si="18"/>
        <v>1754.6258400000002</v>
      </c>
      <c r="V18" s="22">
        <f t="shared" si="18"/>
        <v>2155.9441200000001</v>
      </c>
      <c r="W18" s="22">
        <f t="shared" si="18"/>
        <v>1740.6576</v>
      </c>
      <c r="X18" s="22">
        <f t="shared" si="18"/>
        <v>2787.7383600000003</v>
      </c>
      <c r="Y18" s="22">
        <f t="shared" si="18"/>
        <v>2065.15056</v>
      </c>
      <c r="Z18" s="20" t="s">
        <v>76</v>
      </c>
      <c r="AA18" s="23">
        <f>0.37*1.1*1.1</f>
        <v>0.44770000000000004</v>
      </c>
      <c r="AB18" s="22">
        <f>$AA$18*AB39*$B$45</f>
        <v>2284.3444800000002</v>
      </c>
      <c r="AC18" s="20" t="s">
        <v>76</v>
      </c>
      <c r="AD18" s="21">
        <f>0.56*1.1*1.1</f>
        <v>0.6776000000000002</v>
      </c>
      <c r="AE18" s="22">
        <f t="shared" ref="AE18:AJ18" si="19">$AD$18*AE39*$B$45</f>
        <v>1294.4870400000004</v>
      </c>
      <c r="AF18" s="22">
        <f t="shared" si="19"/>
        <v>726.11616000000026</v>
      </c>
      <c r="AG18" s="22">
        <f t="shared" si="19"/>
        <v>758.64096000000018</v>
      </c>
      <c r="AH18" s="22">
        <f t="shared" si="19"/>
        <v>1857.1660800000004</v>
      </c>
      <c r="AI18" s="22">
        <f t="shared" si="19"/>
        <v>817.18560000000025</v>
      </c>
      <c r="AJ18" s="22">
        <f t="shared" si="19"/>
        <v>834.26112000000012</v>
      </c>
      <c r="AK18" s="20" t="s">
        <v>76</v>
      </c>
      <c r="AL18" s="21">
        <f>0.37*1.1*1.1</f>
        <v>0.44770000000000004</v>
      </c>
      <c r="AM18" s="22">
        <f>$AL$18*AM39*$B$45</f>
        <v>2601.8533200000002</v>
      </c>
      <c r="AN18" s="22">
        <f>$AL$18*AN39*$B$45</f>
        <v>3119.7526800000005</v>
      </c>
      <c r="AO18" s="22">
        <f>$AL$18*AO39*$B$45</f>
        <v>2738.3122800000001</v>
      </c>
    </row>
    <row r="19" spans="1:41">
      <c r="A19" s="58" t="s">
        <v>48</v>
      </c>
      <c r="B19" s="58"/>
      <c r="C19" s="58"/>
      <c r="D19" s="58"/>
      <c r="E19" s="58"/>
      <c r="F19" s="58"/>
      <c r="G19" s="20" t="s">
        <v>76</v>
      </c>
      <c r="H19" s="21">
        <f>0.28*1.1*1.1</f>
        <v>0.3388000000000001</v>
      </c>
      <c r="I19" s="22">
        <f t="shared" ref="I19" si="20">$H$19*I39*$B$45</f>
        <v>1896.1958400000003</v>
      </c>
      <c r="J19" s="20" t="s">
        <v>76</v>
      </c>
      <c r="K19" s="21">
        <f>0.28*1.1*1.1</f>
        <v>0.3388000000000001</v>
      </c>
      <c r="L19" s="22">
        <f t="shared" ref="L19:Q19" si="21">$H$19*L39*$B$45</f>
        <v>2434.0747200000005</v>
      </c>
      <c r="M19" s="22">
        <f t="shared" si="21"/>
        <v>1811.6313600000008</v>
      </c>
      <c r="N19" s="22">
        <f t="shared" si="21"/>
        <v>1933.1928000000007</v>
      </c>
      <c r="O19" s="22">
        <f t="shared" si="21"/>
        <v>2386.9137600000008</v>
      </c>
      <c r="P19" s="22">
        <f t="shared" si="21"/>
        <v>1383.9302400000001</v>
      </c>
      <c r="Q19" s="22">
        <f t="shared" si="21"/>
        <v>2273.4835200000007</v>
      </c>
      <c r="R19" s="20" t="s">
        <v>76</v>
      </c>
      <c r="S19" s="23">
        <f>0.28*1.1*1.1</f>
        <v>0.3388000000000001</v>
      </c>
      <c r="T19" s="22">
        <f t="shared" ref="T19:Y19" si="22">$S$19*T39*$B$45</f>
        <v>1694.1355200000005</v>
      </c>
      <c r="U19" s="22">
        <f t="shared" si="22"/>
        <v>1327.8249600000004</v>
      </c>
      <c r="V19" s="22">
        <f t="shared" si="22"/>
        <v>1631.5252800000003</v>
      </c>
      <c r="W19" s="22">
        <f t="shared" si="22"/>
        <v>1317.2544000000005</v>
      </c>
      <c r="X19" s="22">
        <f t="shared" si="22"/>
        <v>2109.6398400000007</v>
      </c>
      <c r="Y19" s="22">
        <f t="shared" si="22"/>
        <v>1562.8166400000005</v>
      </c>
      <c r="Z19" s="20" t="s">
        <v>76</v>
      </c>
      <c r="AA19" s="23">
        <f>0.28*1.1*1.1</f>
        <v>0.3388000000000001</v>
      </c>
      <c r="AB19" s="22">
        <f>$AA$19*AB39*$B$45</f>
        <v>1728.6931200000004</v>
      </c>
      <c r="AC19" s="20" t="s">
        <v>76</v>
      </c>
      <c r="AD19" s="21">
        <f>0.27*1.1*1.1</f>
        <v>0.32670000000000005</v>
      </c>
      <c r="AE19" s="22">
        <f t="shared" ref="AE19:AJ19" si="23">$AD$19*AE39*$B$45</f>
        <v>624.12768000000005</v>
      </c>
      <c r="AF19" s="22">
        <f t="shared" si="23"/>
        <v>350.09172000000001</v>
      </c>
      <c r="AG19" s="22">
        <f t="shared" si="23"/>
        <v>365.77332000000007</v>
      </c>
      <c r="AH19" s="22">
        <f t="shared" si="23"/>
        <v>895.4193600000001</v>
      </c>
      <c r="AI19" s="22">
        <f t="shared" si="23"/>
        <v>394.00020000000006</v>
      </c>
      <c r="AJ19" s="22">
        <f t="shared" si="23"/>
        <v>402.23304000000007</v>
      </c>
      <c r="AK19" s="20" t="s">
        <v>76</v>
      </c>
      <c r="AL19" s="21">
        <f>0.28*1.1*1.1</f>
        <v>0.3388000000000001</v>
      </c>
      <c r="AM19" s="22">
        <f>$AL$19*AM39*$B$45</f>
        <v>1968.9700800000005</v>
      </c>
      <c r="AN19" s="22">
        <f>$AL$19*AN39*$B$45</f>
        <v>2360.8939200000009</v>
      </c>
      <c r="AO19" s="22">
        <f>$AL$19*AO39*$B$45</f>
        <v>2072.2363200000004</v>
      </c>
    </row>
    <row r="20" spans="1:41" ht="44.1" customHeight="1">
      <c r="A20" s="58" t="s">
        <v>49</v>
      </c>
      <c r="B20" s="58"/>
      <c r="C20" s="58"/>
      <c r="D20" s="58"/>
      <c r="E20" s="58"/>
      <c r="F20" s="58"/>
      <c r="G20" s="26" t="s">
        <v>50</v>
      </c>
      <c r="H20" s="21">
        <f>0.68*1.1*1.1</f>
        <v>0.8228000000000002</v>
      </c>
      <c r="I20" s="22">
        <f t="shared" ref="I20" si="24">$H$20*I39*$B$45</f>
        <v>4605.0470400000004</v>
      </c>
      <c r="J20" s="26" t="s">
        <v>50</v>
      </c>
      <c r="K20" s="21">
        <f>0.68*1.1*1.1</f>
        <v>0.8228000000000002</v>
      </c>
      <c r="L20" s="22">
        <f t="shared" ref="L20:Q20" si="25">$K$20*L39*$B$45</f>
        <v>5911.3243200000015</v>
      </c>
      <c r="M20" s="22">
        <f t="shared" si="25"/>
        <v>4399.6761600000009</v>
      </c>
      <c r="N20" s="22">
        <f t="shared" si="25"/>
        <v>4694.8968000000013</v>
      </c>
      <c r="O20" s="22">
        <f t="shared" si="25"/>
        <v>5796.7905600000013</v>
      </c>
      <c r="P20" s="22">
        <f t="shared" si="25"/>
        <v>3360.9734400000007</v>
      </c>
      <c r="Q20" s="22">
        <f t="shared" si="25"/>
        <v>5521.3171200000015</v>
      </c>
      <c r="R20" s="26" t="s">
        <v>50</v>
      </c>
      <c r="S20" s="23">
        <f>0.68*1.1*1.1</f>
        <v>0.8228000000000002</v>
      </c>
      <c r="T20" s="22">
        <f t="shared" ref="T20:Y20" si="26">$S$20*T39*$B$45</f>
        <v>4114.3291200000012</v>
      </c>
      <c r="U20" s="22">
        <f t="shared" si="26"/>
        <v>3224.7177600000014</v>
      </c>
      <c r="V20" s="22">
        <f t="shared" si="26"/>
        <v>3962.2756800000016</v>
      </c>
      <c r="W20" s="22">
        <f t="shared" si="26"/>
        <v>3199.0464000000006</v>
      </c>
      <c r="X20" s="22">
        <f t="shared" si="26"/>
        <v>5123.4110400000009</v>
      </c>
      <c r="Y20" s="22">
        <f t="shared" si="26"/>
        <v>3795.4118400000007</v>
      </c>
      <c r="Z20" s="26" t="s">
        <v>50</v>
      </c>
      <c r="AA20" s="23">
        <f>0.68*1.1*1.1</f>
        <v>0.8228000000000002</v>
      </c>
      <c r="AB20" s="22">
        <f>$AA$20*AB39*$B$45</f>
        <v>4198.2547200000008</v>
      </c>
      <c r="AC20" s="26" t="s">
        <v>50</v>
      </c>
      <c r="AD20" s="21">
        <f>0.56*1.1*1.1</f>
        <v>0.6776000000000002</v>
      </c>
      <c r="AE20" s="22">
        <f t="shared" ref="AE20:AJ20" si="27">$AD$20*AE39*$B$45</f>
        <v>1294.4870400000004</v>
      </c>
      <c r="AF20" s="22">
        <f t="shared" si="27"/>
        <v>726.11616000000026</v>
      </c>
      <c r="AG20" s="22">
        <f t="shared" si="27"/>
        <v>758.64096000000018</v>
      </c>
      <c r="AH20" s="22">
        <f t="shared" si="27"/>
        <v>1857.1660800000004</v>
      </c>
      <c r="AI20" s="22">
        <f t="shared" si="27"/>
        <v>817.18560000000025</v>
      </c>
      <c r="AJ20" s="22">
        <f t="shared" si="27"/>
        <v>834.26112000000012</v>
      </c>
      <c r="AK20" s="26" t="s">
        <v>50</v>
      </c>
      <c r="AL20" s="21">
        <f>0.48*1.1*1.1</f>
        <v>0.58080000000000009</v>
      </c>
      <c r="AM20" s="22">
        <f>$AL$20*AM39*$B$45</f>
        <v>3375.3772800000006</v>
      </c>
      <c r="AN20" s="22">
        <f>$AL$20*AN39*$B$45</f>
        <v>4047.246720000001</v>
      </c>
      <c r="AO20" s="22">
        <f>$AL$20*AO39*$B$45</f>
        <v>3552.4051200000004</v>
      </c>
    </row>
    <row r="21" spans="1:41">
      <c r="A21" s="58" t="s">
        <v>51</v>
      </c>
      <c r="B21" s="58"/>
      <c r="C21" s="58"/>
      <c r="D21" s="58"/>
      <c r="E21" s="58"/>
      <c r="F21" s="58"/>
      <c r="G21" s="20" t="s">
        <v>80</v>
      </c>
      <c r="H21" s="21">
        <f>0.23*1.1*1.1</f>
        <v>0.2783000000000001</v>
      </c>
      <c r="I21" s="22">
        <f t="shared" ref="I21" si="28">$H$21*I39*$B$45</f>
        <v>1557.5894400000006</v>
      </c>
      <c r="J21" s="20" t="s">
        <v>80</v>
      </c>
      <c r="K21" s="21">
        <f>0.23*1.1*1.1</f>
        <v>0.2783000000000001</v>
      </c>
      <c r="L21" s="22">
        <f t="shared" ref="L21:Q21" si="29">$K$21*L39*$B$45</f>
        <v>1999.4185200000006</v>
      </c>
      <c r="M21" s="22">
        <f t="shared" si="29"/>
        <v>1488.1257600000008</v>
      </c>
      <c r="N21" s="22">
        <f t="shared" si="29"/>
        <v>1587.9798000000005</v>
      </c>
      <c r="O21" s="22">
        <f t="shared" si="29"/>
        <v>1960.679160000001</v>
      </c>
      <c r="P21" s="22">
        <f t="shared" si="29"/>
        <v>1136.7998400000004</v>
      </c>
      <c r="Q21" s="22">
        <f t="shared" si="29"/>
        <v>1867.5043200000007</v>
      </c>
      <c r="R21" s="20" t="s">
        <v>80</v>
      </c>
      <c r="S21" s="23">
        <f>0.23*1.1*1.1</f>
        <v>0.2783000000000001</v>
      </c>
      <c r="T21" s="22">
        <f t="shared" ref="T21:Y21" si="30">$S$21*T39*$B$45</f>
        <v>1391.6113200000004</v>
      </c>
      <c r="U21" s="22">
        <f t="shared" si="30"/>
        <v>1090.7133600000006</v>
      </c>
      <c r="V21" s="22">
        <f t="shared" si="30"/>
        <v>1340.1814800000006</v>
      </c>
      <c r="W21" s="22">
        <f t="shared" si="30"/>
        <v>1082.0304000000003</v>
      </c>
      <c r="X21" s="22">
        <f t="shared" si="30"/>
        <v>1732.9184400000004</v>
      </c>
      <c r="Y21" s="22">
        <f t="shared" si="30"/>
        <v>1283.7422400000005</v>
      </c>
      <c r="Z21" s="20" t="s">
        <v>80</v>
      </c>
      <c r="AA21" s="23">
        <f>0.23*1.1*1.1</f>
        <v>0.2783000000000001</v>
      </c>
      <c r="AB21" s="22">
        <f>$AA$21*AB39*$B$45</f>
        <v>1419.9979200000005</v>
      </c>
      <c r="AC21" s="20" t="s">
        <v>80</v>
      </c>
      <c r="AD21" s="21">
        <f>0.23*1.1*1.1</f>
        <v>0.2783000000000001</v>
      </c>
      <c r="AE21" s="22">
        <f t="shared" ref="AE21:AJ21" si="31">$AD$21*AE39*$B$45</f>
        <v>531.6643200000002</v>
      </c>
      <c r="AF21" s="22">
        <f t="shared" si="31"/>
        <v>298.22628000000009</v>
      </c>
      <c r="AG21" s="22">
        <f t="shared" si="31"/>
        <v>311.58468000000011</v>
      </c>
      <c r="AH21" s="22">
        <f t="shared" si="31"/>
        <v>762.76464000000033</v>
      </c>
      <c r="AI21" s="22">
        <f t="shared" si="31"/>
        <v>335.6298000000001</v>
      </c>
      <c r="AJ21" s="22">
        <f t="shared" si="31"/>
        <v>342.64296000000007</v>
      </c>
      <c r="AK21" s="20" t="s">
        <v>80</v>
      </c>
      <c r="AL21" s="21">
        <f>0.23*1.1*1.1</f>
        <v>0.2783000000000001</v>
      </c>
      <c r="AM21" s="22">
        <f>$AL$21*AM39*$B$45</f>
        <v>1617.3682800000006</v>
      </c>
      <c r="AN21" s="22">
        <f>$AL$21*AN39*$B$45</f>
        <v>1939.3057200000007</v>
      </c>
      <c r="AO21" s="22">
        <f>$AL$21*AO39*$B$45</f>
        <v>1702.1941200000006</v>
      </c>
    </row>
    <row r="22" spans="1:41">
      <c r="A22" s="58" t="s">
        <v>52</v>
      </c>
      <c r="B22" s="58"/>
      <c r="C22" s="58"/>
      <c r="D22" s="58"/>
      <c r="E22" s="58"/>
      <c r="F22" s="58"/>
      <c r="G22" s="20" t="s">
        <v>76</v>
      </c>
      <c r="H22" s="21">
        <f>2.74*1.1*1.1</f>
        <v>3.3154000000000012</v>
      </c>
      <c r="I22" s="22">
        <f t="shared" ref="I22" si="32">$H$22*I39*$B$45</f>
        <v>18555.630720000008</v>
      </c>
      <c r="J22" s="20" t="s">
        <v>76</v>
      </c>
      <c r="K22" s="21">
        <f>2.74*1.1*1.1</f>
        <v>3.3154000000000012</v>
      </c>
      <c r="L22" s="22">
        <f t="shared" ref="L22:Q22" si="33">$K$22*L39*$B$45</f>
        <v>23819.15976000001</v>
      </c>
      <c r="M22" s="22">
        <f t="shared" si="33"/>
        <v>17728.106880000007</v>
      </c>
      <c r="N22" s="22">
        <f t="shared" si="33"/>
        <v>18917.672400000007</v>
      </c>
      <c r="O22" s="22">
        <f t="shared" si="33"/>
        <v>23357.656080000008</v>
      </c>
      <c r="P22" s="22">
        <f t="shared" si="33"/>
        <v>13542.745920000005</v>
      </c>
      <c r="Q22" s="22">
        <f t="shared" si="33"/>
        <v>22247.66016000001</v>
      </c>
      <c r="R22" s="20" t="s">
        <v>76</v>
      </c>
      <c r="S22" s="23">
        <f>2.74*1.1*1.1</f>
        <v>3.3154000000000012</v>
      </c>
      <c r="T22" s="22">
        <f t="shared" ref="T22:Y22" si="34">$S$22*T39*$B$45</f>
        <v>16578.326160000004</v>
      </c>
      <c r="U22" s="22">
        <f t="shared" si="34"/>
        <v>12993.715680000005</v>
      </c>
      <c r="V22" s="22">
        <f t="shared" si="34"/>
        <v>15965.640240000004</v>
      </c>
      <c r="W22" s="22">
        <f t="shared" si="34"/>
        <v>12890.275200000004</v>
      </c>
      <c r="X22" s="22">
        <f t="shared" si="34"/>
        <v>20644.332720000006</v>
      </c>
      <c r="Y22" s="22">
        <f t="shared" si="34"/>
        <v>15293.277120000006</v>
      </c>
      <c r="Z22" s="20" t="s">
        <v>76</v>
      </c>
      <c r="AA22" s="23">
        <f>2.74*1.1*1.1</f>
        <v>3.3154000000000012</v>
      </c>
      <c r="AB22" s="22">
        <f>$AA$22*AB39*$B$45</f>
        <v>16916.496960000008</v>
      </c>
      <c r="AC22" s="20" t="s">
        <v>84</v>
      </c>
      <c r="AD22" s="21">
        <f>2.97*1.1*1.1</f>
        <v>3.5937000000000006</v>
      </c>
      <c r="AE22" s="22">
        <f t="shared" ref="AE22:AJ22" si="35">$AD$22*AE39*$B$45</f>
        <v>6865.4044800000011</v>
      </c>
      <c r="AF22" s="22">
        <f t="shared" si="35"/>
        <v>3851.0089200000002</v>
      </c>
      <c r="AG22" s="22">
        <f t="shared" si="35"/>
        <v>4023.5065200000008</v>
      </c>
      <c r="AH22" s="22">
        <f t="shared" si="35"/>
        <v>9849.6129600000022</v>
      </c>
      <c r="AI22" s="22">
        <f t="shared" si="35"/>
        <v>4334.0022000000008</v>
      </c>
      <c r="AJ22" s="22">
        <f t="shared" si="35"/>
        <v>4424.5634400000008</v>
      </c>
      <c r="AK22" s="20" t="s">
        <v>76</v>
      </c>
      <c r="AL22" s="27">
        <f>2.74*1.1*1.1</f>
        <v>3.3154000000000012</v>
      </c>
      <c r="AM22" s="22">
        <f>$AL$22*AM39*$B$45</f>
        <v>19267.778640000008</v>
      </c>
      <c r="AN22" s="22">
        <f>$AL$22*AN39*$B$45</f>
        <v>23103.033360000012</v>
      </c>
      <c r="AO22" s="22">
        <f>$AL$22*AO39*$B$45</f>
        <v>20278.312560000006</v>
      </c>
    </row>
    <row r="23" spans="1:41">
      <c r="A23" s="58" t="s">
        <v>53</v>
      </c>
      <c r="B23" s="58"/>
      <c r="C23" s="58"/>
      <c r="D23" s="58"/>
      <c r="E23" s="58"/>
      <c r="F23" s="58"/>
      <c r="G23" s="20" t="s">
        <v>39</v>
      </c>
      <c r="H23" s="21">
        <v>0</v>
      </c>
      <c r="I23" s="22">
        <f t="shared" ref="I23" si="36">$H$23*I39*$B$45</f>
        <v>0</v>
      </c>
      <c r="J23" s="20" t="s">
        <v>39</v>
      </c>
      <c r="K23" s="21">
        <v>0</v>
      </c>
      <c r="L23" s="22">
        <f t="shared" ref="L23:Q23" si="37">$K$23*L39*$B$45</f>
        <v>0</v>
      </c>
      <c r="M23" s="22">
        <f t="shared" si="37"/>
        <v>0</v>
      </c>
      <c r="N23" s="22">
        <f t="shared" si="37"/>
        <v>0</v>
      </c>
      <c r="O23" s="22">
        <f t="shared" si="37"/>
        <v>0</v>
      </c>
      <c r="P23" s="22">
        <f t="shared" si="37"/>
        <v>0</v>
      </c>
      <c r="Q23" s="22">
        <f t="shared" si="37"/>
        <v>0</v>
      </c>
      <c r="R23" s="20" t="s">
        <v>39</v>
      </c>
      <c r="S23" s="23">
        <v>0</v>
      </c>
      <c r="T23" s="22">
        <f t="shared" ref="T23:Y23" si="38">$S$23*T39*$B$45</f>
        <v>0</v>
      </c>
      <c r="U23" s="22">
        <f t="shared" si="38"/>
        <v>0</v>
      </c>
      <c r="V23" s="22">
        <f t="shared" si="38"/>
        <v>0</v>
      </c>
      <c r="W23" s="22">
        <f t="shared" si="38"/>
        <v>0</v>
      </c>
      <c r="X23" s="22">
        <f t="shared" si="38"/>
        <v>0</v>
      </c>
      <c r="Y23" s="22">
        <f t="shared" si="38"/>
        <v>0</v>
      </c>
      <c r="Z23" s="20" t="s">
        <v>39</v>
      </c>
      <c r="AA23" s="23">
        <v>0</v>
      </c>
      <c r="AB23" s="22">
        <f>$AA$23*AB39*$B$45</f>
        <v>0</v>
      </c>
      <c r="AC23" s="20" t="s">
        <v>85</v>
      </c>
      <c r="AD23" s="21">
        <f>3.31*1.1*1.1</f>
        <v>4.0051000000000005</v>
      </c>
      <c r="AE23" s="22">
        <f t="shared" ref="AE23:AJ23" si="39">$AD$23*AE39*$B$45</f>
        <v>7651.3430400000007</v>
      </c>
      <c r="AF23" s="22">
        <f t="shared" si="39"/>
        <v>4291.8651600000003</v>
      </c>
      <c r="AG23" s="22">
        <f t="shared" si="39"/>
        <v>4484.1099599999998</v>
      </c>
      <c r="AH23" s="22">
        <f t="shared" si="39"/>
        <v>10977.178080000002</v>
      </c>
      <c r="AI23" s="22">
        <f t="shared" si="39"/>
        <v>4830.1506000000008</v>
      </c>
      <c r="AJ23" s="22">
        <f t="shared" si="39"/>
        <v>4931.0791200000003</v>
      </c>
      <c r="AK23" s="20" t="s">
        <v>39</v>
      </c>
      <c r="AL23" s="27">
        <v>0</v>
      </c>
      <c r="AM23" s="22">
        <f>$AL$23*AM39*$B$45</f>
        <v>0</v>
      </c>
      <c r="AN23" s="22">
        <f>$AL$23*AN39*$B$45</f>
        <v>0</v>
      </c>
      <c r="AO23" s="22">
        <f>$AL$23*AO39*$B$45</f>
        <v>0</v>
      </c>
    </row>
    <row r="24" spans="1:41" ht="13.5" customHeight="1">
      <c r="A24" s="60" t="s">
        <v>54</v>
      </c>
      <c r="B24" s="60"/>
      <c r="C24" s="60"/>
      <c r="D24" s="60"/>
      <c r="E24" s="60"/>
      <c r="F24" s="60"/>
      <c r="G24" s="25"/>
      <c r="H24" s="28">
        <f t="shared" ref="H24:I24" si="40">SUM(H25:H28)</f>
        <v>7.0180000000000007</v>
      </c>
      <c r="I24" s="17">
        <f t="shared" si="40"/>
        <v>39278.342400000001</v>
      </c>
      <c r="J24" s="25"/>
      <c r="K24" s="28">
        <f t="shared" ref="K24:Q24" si="41">SUM(K25:K28)</f>
        <v>7.0180000000000007</v>
      </c>
      <c r="L24" s="17">
        <f t="shared" si="41"/>
        <v>50420.119200000016</v>
      </c>
      <c r="M24" s="17">
        <f t="shared" si="41"/>
        <v>37526.649600000004</v>
      </c>
      <c r="N24" s="17">
        <f t="shared" si="41"/>
        <v>40044.708000000006</v>
      </c>
      <c r="O24" s="17">
        <f t="shared" si="41"/>
        <v>49443.21360000001</v>
      </c>
      <c r="P24" s="17">
        <f t="shared" si="41"/>
        <v>28667.126400000001</v>
      </c>
      <c r="Q24" s="17">
        <f t="shared" si="41"/>
        <v>47093.587200000016</v>
      </c>
      <c r="R24" s="25"/>
      <c r="S24" s="29">
        <f>SUM(S25:S28)</f>
        <v>6.4614000000000011</v>
      </c>
      <c r="T24" s="17">
        <f t="shared" ref="T24:X24" si="42">SUM(T25:T28)</f>
        <v>32309.584560000007</v>
      </c>
      <c r="U24" s="17">
        <f t="shared" si="42"/>
        <v>25323.518880000007</v>
      </c>
      <c r="V24" s="17">
        <f t="shared" si="42"/>
        <v>31115.517840000008</v>
      </c>
      <c r="W24" s="17">
        <f t="shared" si="42"/>
        <v>25121.923200000008</v>
      </c>
      <c r="X24" s="17">
        <f t="shared" si="42"/>
        <v>40233.84552000001</v>
      </c>
      <c r="Y24" s="17">
        <f>SUM(Y25:Y28)</f>
        <v>29805.145920000006</v>
      </c>
      <c r="Z24" s="25"/>
      <c r="AA24" s="29">
        <f>SUM(AA25:AA28)</f>
        <v>6.4614000000000011</v>
      </c>
      <c r="AB24" s="30">
        <f>SUM(AB25:AB28)</f>
        <v>32968.64736000001</v>
      </c>
      <c r="AC24" s="25"/>
      <c r="AD24" s="28">
        <f t="shared" ref="AD24:AJ24" si="43">SUM(AD25:AD28)</f>
        <v>2.4321000000000006</v>
      </c>
      <c r="AE24" s="17">
        <f t="shared" si="43"/>
        <v>4646.2838400000001</v>
      </c>
      <c r="AF24" s="17">
        <f t="shared" si="43"/>
        <v>2606.2383600000007</v>
      </c>
      <c r="AG24" s="17">
        <f t="shared" si="43"/>
        <v>2722.9791599999999</v>
      </c>
      <c r="AH24" s="17">
        <f t="shared" si="43"/>
        <v>6665.8996800000004</v>
      </c>
      <c r="AI24" s="17">
        <f t="shared" si="43"/>
        <v>2933.1126000000004</v>
      </c>
      <c r="AJ24" s="17">
        <f t="shared" si="43"/>
        <v>2994.4015200000003</v>
      </c>
      <c r="AK24" s="25"/>
      <c r="AL24" s="31">
        <f>SUM(AL25:AL28)</f>
        <v>3.0129000000000006</v>
      </c>
      <c r="AM24" s="17">
        <f>SUM(AM25:AM28)</f>
        <v>17509.769640000002</v>
      </c>
      <c r="AN24" s="17">
        <f>SUM(AN25:AN28)</f>
        <v>20995.092360000006</v>
      </c>
      <c r="AO24" s="17">
        <f>SUM(AO25:AO28)</f>
        <v>18428.101560000006</v>
      </c>
    </row>
    <row r="25" spans="1:41">
      <c r="A25" s="58" t="s">
        <v>55</v>
      </c>
      <c r="B25" s="58"/>
      <c r="C25" s="58"/>
      <c r="D25" s="58"/>
      <c r="E25" s="58"/>
      <c r="F25" s="58"/>
      <c r="G25" s="20" t="s">
        <v>56</v>
      </c>
      <c r="H25" s="21">
        <v>0</v>
      </c>
      <c r="I25" s="22">
        <f t="shared" ref="I25" si="44">$H$25*I39*$B$45</f>
        <v>0</v>
      </c>
      <c r="J25" s="20" t="s">
        <v>56</v>
      </c>
      <c r="K25" s="21">
        <v>0</v>
      </c>
      <c r="L25" s="22">
        <f t="shared" ref="L25:Q25" si="45">$K$25*L39*$B$45</f>
        <v>0</v>
      </c>
      <c r="M25" s="22">
        <f t="shared" si="45"/>
        <v>0</v>
      </c>
      <c r="N25" s="22">
        <f t="shared" si="45"/>
        <v>0</v>
      </c>
      <c r="O25" s="22">
        <f t="shared" si="45"/>
        <v>0</v>
      </c>
      <c r="P25" s="22">
        <f t="shared" si="45"/>
        <v>0</v>
      </c>
      <c r="Q25" s="22">
        <f t="shared" si="45"/>
        <v>0</v>
      </c>
      <c r="R25" s="20" t="s">
        <v>56</v>
      </c>
      <c r="S25" s="23">
        <v>0</v>
      </c>
      <c r="T25" s="22">
        <f t="shared" ref="T25:Y25" si="46">$S$25*T39*$B$45</f>
        <v>0</v>
      </c>
      <c r="U25" s="22">
        <f t="shared" si="46"/>
        <v>0</v>
      </c>
      <c r="V25" s="22">
        <f t="shared" si="46"/>
        <v>0</v>
      </c>
      <c r="W25" s="22">
        <f t="shared" si="46"/>
        <v>0</v>
      </c>
      <c r="X25" s="22">
        <f t="shared" si="46"/>
        <v>0</v>
      </c>
      <c r="Y25" s="22">
        <f t="shared" si="46"/>
        <v>0</v>
      </c>
      <c r="Z25" s="20" t="s">
        <v>56</v>
      </c>
      <c r="AA25" s="23">
        <v>0</v>
      </c>
      <c r="AB25" s="22">
        <f>$AA$25*AB39*$B$45</f>
        <v>0</v>
      </c>
      <c r="AC25" s="20" t="s">
        <v>56</v>
      </c>
      <c r="AD25" s="21">
        <v>0</v>
      </c>
      <c r="AE25" s="22">
        <f t="shared" ref="AE25:AJ25" si="47">$AD$25*AE39*$B$45</f>
        <v>0</v>
      </c>
      <c r="AF25" s="22">
        <f t="shared" si="47"/>
        <v>0</v>
      </c>
      <c r="AG25" s="22">
        <f t="shared" si="47"/>
        <v>0</v>
      </c>
      <c r="AH25" s="22">
        <f t="shared" si="47"/>
        <v>0</v>
      </c>
      <c r="AI25" s="22">
        <f t="shared" si="47"/>
        <v>0</v>
      </c>
      <c r="AJ25" s="22">
        <f t="shared" si="47"/>
        <v>0</v>
      </c>
      <c r="AK25" s="20" t="s">
        <v>56</v>
      </c>
      <c r="AL25" s="27">
        <v>0</v>
      </c>
      <c r="AM25" s="22">
        <f>$AL$25*AM39*$B$45</f>
        <v>0</v>
      </c>
      <c r="AN25" s="22">
        <f>$AL$25*AN39*$B$45</f>
        <v>0</v>
      </c>
      <c r="AO25" s="22">
        <f>$AL$25*AO39*$B$45</f>
        <v>0</v>
      </c>
    </row>
    <row r="26" spans="1:41" ht="37.5" customHeight="1">
      <c r="A26" s="61" t="s">
        <v>57</v>
      </c>
      <c r="B26" s="61"/>
      <c r="C26" s="61"/>
      <c r="D26" s="61"/>
      <c r="E26" s="61"/>
      <c r="F26" s="61"/>
      <c r="G26" s="20" t="s">
        <v>81</v>
      </c>
      <c r="H26" s="21">
        <f>0.55*1.1*1.1</f>
        <v>0.6655000000000002</v>
      </c>
      <c r="I26" s="22">
        <f t="shared" ref="I26" si="48">$H$26*I39*$B$45</f>
        <v>3724.6704000000009</v>
      </c>
      <c r="J26" s="20" t="s">
        <v>81</v>
      </c>
      <c r="K26" s="21">
        <f>0.55*1.1*1.1</f>
        <v>0.6655000000000002</v>
      </c>
      <c r="L26" s="22">
        <f t="shared" ref="L26:Q26" si="49">$K$26*L39*$B$45</f>
        <v>4781.2182000000021</v>
      </c>
      <c r="M26" s="22">
        <f t="shared" si="49"/>
        <v>3558.5616000000018</v>
      </c>
      <c r="N26" s="22">
        <f t="shared" si="49"/>
        <v>3797.3430000000012</v>
      </c>
      <c r="O26" s="22">
        <f t="shared" si="49"/>
        <v>4688.5806000000011</v>
      </c>
      <c r="P26" s="22">
        <f t="shared" si="49"/>
        <v>2718.434400000001</v>
      </c>
      <c r="Q26" s="22">
        <f t="shared" si="49"/>
        <v>4465.771200000001</v>
      </c>
      <c r="R26" s="20" t="s">
        <v>81</v>
      </c>
      <c r="S26" s="21">
        <f>0.55*1.1*1.1</f>
        <v>0.6655000000000002</v>
      </c>
      <c r="T26" s="22">
        <f t="shared" ref="T26:Y26" si="50">$S$26*T39*$B$45</f>
        <v>3327.7662000000009</v>
      </c>
      <c r="U26" s="22">
        <f t="shared" si="50"/>
        <v>2608.2276000000011</v>
      </c>
      <c r="V26" s="22">
        <f t="shared" si="50"/>
        <v>3204.7818000000007</v>
      </c>
      <c r="W26" s="22">
        <f t="shared" si="50"/>
        <v>2587.4640000000009</v>
      </c>
      <c r="X26" s="22">
        <f t="shared" si="50"/>
        <v>4143.9354000000012</v>
      </c>
      <c r="Y26" s="22">
        <f t="shared" si="50"/>
        <v>3069.818400000001</v>
      </c>
      <c r="Z26" s="20" t="s">
        <v>81</v>
      </c>
      <c r="AA26" s="21">
        <f>0.55*1.1*1.1</f>
        <v>0.6655000000000002</v>
      </c>
      <c r="AB26" s="22">
        <f>$AA$26*AB39*$B$45</f>
        <v>3395.6472000000012</v>
      </c>
      <c r="AC26" s="20" t="s">
        <v>81</v>
      </c>
      <c r="AD26" s="21">
        <f>0.11*1.1*1.1</f>
        <v>0.13310000000000002</v>
      </c>
      <c r="AE26" s="22">
        <f t="shared" ref="AE26:AJ26" si="51">$AD$26*AE39*$B$45</f>
        <v>254.27424000000002</v>
      </c>
      <c r="AF26" s="22">
        <f t="shared" si="51"/>
        <v>142.62996000000004</v>
      </c>
      <c r="AG26" s="22">
        <f t="shared" si="51"/>
        <v>149.01876000000001</v>
      </c>
      <c r="AH26" s="22">
        <f t="shared" si="51"/>
        <v>364.80048000000011</v>
      </c>
      <c r="AI26" s="22">
        <f t="shared" si="51"/>
        <v>160.51860000000002</v>
      </c>
      <c r="AJ26" s="22">
        <f t="shared" si="51"/>
        <v>163.87272000000002</v>
      </c>
      <c r="AK26" s="20" t="s">
        <v>81</v>
      </c>
      <c r="AL26" s="27">
        <f>0.14*1.1*1.1</f>
        <v>0.16940000000000005</v>
      </c>
      <c r="AM26" s="22">
        <f>$AL$26*AM39*$B$45</f>
        <v>984.48504000000025</v>
      </c>
      <c r="AN26" s="22">
        <f>$AL$26*AN39*$B$45</f>
        <v>1180.4469600000004</v>
      </c>
      <c r="AO26" s="22">
        <f>$AL$26*AO39*$B$45</f>
        <v>1036.1181600000002</v>
      </c>
    </row>
    <row r="27" spans="1:41" ht="45.6" customHeight="1">
      <c r="A27" s="61" t="s">
        <v>58</v>
      </c>
      <c r="B27" s="61"/>
      <c r="C27" s="61"/>
      <c r="D27" s="61"/>
      <c r="E27" s="61"/>
      <c r="F27" s="61"/>
      <c r="G27" s="26" t="s">
        <v>59</v>
      </c>
      <c r="H27" s="21">
        <f>0.04*1.1*1.1</f>
        <v>4.8400000000000006E-2</v>
      </c>
      <c r="I27" s="22">
        <f t="shared" ref="I27" si="52">$H$27*I39*$B$45</f>
        <v>270.88512000000003</v>
      </c>
      <c r="J27" s="26" t="s">
        <v>59</v>
      </c>
      <c r="K27" s="21">
        <f>0.04*1.1*1.1</f>
        <v>4.8400000000000006E-2</v>
      </c>
      <c r="L27" s="22">
        <f t="shared" ref="L27:Q27" si="53">$K$27*L39*$B$45</f>
        <v>347.72496000000007</v>
      </c>
      <c r="M27" s="22">
        <f t="shared" si="53"/>
        <v>258.80448000000001</v>
      </c>
      <c r="N27" s="22">
        <f t="shared" si="53"/>
        <v>276.17040000000003</v>
      </c>
      <c r="O27" s="22">
        <f t="shared" si="53"/>
        <v>340.98768000000007</v>
      </c>
      <c r="P27" s="22">
        <f t="shared" si="53"/>
        <v>197.70432000000002</v>
      </c>
      <c r="Q27" s="22">
        <f t="shared" si="53"/>
        <v>324.78336000000007</v>
      </c>
      <c r="R27" s="26" t="s">
        <v>59</v>
      </c>
      <c r="S27" s="23">
        <f>0.04*1.1*1.1</f>
        <v>4.8400000000000006E-2</v>
      </c>
      <c r="T27" s="22">
        <f t="shared" ref="T27:Y27" si="54">$S$27*T39*$B$45</f>
        <v>242.01936000000003</v>
      </c>
      <c r="U27" s="22">
        <f t="shared" si="54"/>
        <v>189.68928000000005</v>
      </c>
      <c r="V27" s="22">
        <f t="shared" si="54"/>
        <v>233.07504</v>
      </c>
      <c r="W27" s="22">
        <f t="shared" si="54"/>
        <v>188.17920000000001</v>
      </c>
      <c r="X27" s="22">
        <f t="shared" si="54"/>
        <v>301.37711999999999</v>
      </c>
      <c r="Y27" s="22">
        <f t="shared" si="54"/>
        <v>223.25952000000001</v>
      </c>
      <c r="Z27" s="26" t="s">
        <v>59</v>
      </c>
      <c r="AA27" s="23">
        <f>0.04*1.1*1.1</f>
        <v>4.8400000000000006E-2</v>
      </c>
      <c r="AB27" s="22">
        <f>$AA$27*AB39*$B$45</f>
        <v>246.95616000000004</v>
      </c>
      <c r="AC27" s="26" t="s">
        <v>59</v>
      </c>
      <c r="AD27" s="21">
        <f>0.04*1.1*1.1</f>
        <v>4.8400000000000006E-2</v>
      </c>
      <c r="AE27" s="22">
        <f t="shared" ref="AE27:AJ27" si="55">$AD$27*AE39*$B$45</f>
        <v>92.463359999999994</v>
      </c>
      <c r="AF27" s="22">
        <f t="shared" si="55"/>
        <v>51.86544</v>
      </c>
      <c r="AG27" s="22">
        <f t="shared" si="55"/>
        <v>54.188639999999999</v>
      </c>
      <c r="AH27" s="22">
        <f t="shared" si="55"/>
        <v>132.65472000000003</v>
      </c>
      <c r="AI27" s="22">
        <f t="shared" si="55"/>
        <v>58.370400000000004</v>
      </c>
      <c r="AJ27" s="22">
        <f t="shared" si="55"/>
        <v>59.59008</v>
      </c>
      <c r="AK27" s="26" t="s">
        <v>59</v>
      </c>
      <c r="AL27" s="27">
        <v>0</v>
      </c>
      <c r="AM27" s="22">
        <f>$AL$27*AM39*$B$45</f>
        <v>0</v>
      </c>
      <c r="AN27" s="22">
        <f>$AL$27*AN39*$B$45</f>
        <v>0</v>
      </c>
      <c r="AO27" s="22">
        <f>$AL$27*AO39*$B$45</f>
        <v>0</v>
      </c>
    </row>
    <row r="28" spans="1:41" ht="68.650000000000006" customHeight="1">
      <c r="A28" s="61" t="s">
        <v>60</v>
      </c>
      <c r="B28" s="61"/>
      <c r="C28" s="61"/>
      <c r="D28" s="61"/>
      <c r="E28" s="61"/>
      <c r="F28" s="61"/>
      <c r="G28" s="20" t="s">
        <v>81</v>
      </c>
      <c r="H28" s="21">
        <f>5.21*1.1*1.1</f>
        <v>6.3041000000000009</v>
      </c>
      <c r="I28" s="22">
        <f t="shared" ref="I28" si="56">$H$28*I39*$B$45</f>
        <v>35282.78688</v>
      </c>
      <c r="J28" s="20" t="s">
        <v>81</v>
      </c>
      <c r="K28" s="21">
        <f>5.21*1.1*1.1</f>
        <v>6.3041000000000009</v>
      </c>
      <c r="L28" s="22">
        <f t="shared" ref="L28:Q28" si="57">$K$28*L39*$B$45</f>
        <v>45291.176040000013</v>
      </c>
      <c r="M28" s="22">
        <f t="shared" si="57"/>
        <v>33709.283520000005</v>
      </c>
      <c r="N28" s="22">
        <f t="shared" si="57"/>
        <v>35971.194600000003</v>
      </c>
      <c r="O28" s="22">
        <f t="shared" si="57"/>
        <v>44413.645320000011</v>
      </c>
      <c r="P28" s="22">
        <f t="shared" si="57"/>
        <v>25750.987680000002</v>
      </c>
      <c r="Q28" s="22">
        <f t="shared" si="57"/>
        <v>42303.032640000012</v>
      </c>
      <c r="R28" s="20" t="s">
        <v>81</v>
      </c>
      <c r="S28" s="23">
        <f>4.75*1.1*1.1</f>
        <v>5.7475000000000014</v>
      </c>
      <c r="T28" s="22">
        <f t="shared" ref="T28:Y28" si="58">$S$28*T39*$B$45</f>
        <v>28739.799000000006</v>
      </c>
      <c r="U28" s="22">
        <f t="shared" si="58"/>
        <v>22525.602000000006</v>
      </c>
      <c r="V28" s="22">
        <f t="shared" si="58"/>
        <v>27677.661000000007</v>
      </c>
      <c r="W28" s="22">
        <f t="shared" si="58"/>
        <v>22346.280000000006</v>
      </c>
      <c r="X28" s="22">
        <f t="shared" si="58"/>
        <v>35788.53300000001</v>
      </c>
      <c r="Y28" s="22">
        <f t="shared" si="58"/>
        <v>26512.068000000007</v>
      </c>
      <c r="Z28" s="20" t="s">
        <v>81</v>
      </c>
      <c r="AA28" s="23">
        <f>4.75*1.1*1.1</f>
        <v>5.7475000000000014</v>
      </c>
      <c r="AB28" s="22">
        <f>$AA$28*AB39*$B$45</f>
        <v>29326.044000000005</v>
      </c>
      <c r="AC28" s="20" t="s">
        <v>81</v>
      </c>
      <c r="AD28" s="21">
        <f>1.86*1.1*1.1</f>
        <v>2.2506000000000004</v>
      </c>
      <c r="AE28" s="22">
        <f t="shared" ref="AE28:AJ28" si="59">$AD$28*AE39*$B$45</f>
        <v>4299.5462399999997</v>
      </c>
      <c r="AF28" s="22">
        <f t="shared" si="59"/>
        <v>2411.7429600000005</v>
      </c>
      <c r="AG28" s="22">
        <f t="shared" si="59"/>
        <v>2519.7717600000001</v>
      </c>
      <c r="AH28" s="22">
        <f t="shared" si="59"/>
        <v>6168.4444800000001</v>
      </c>
      <c r="AI28" s="22">
        <f t="shared" si="59"/>
        <v>2714.2236000000003</v>
      </c>
      <c r="AJ28" s="22">
        <f t="shared" si="59"/>
        <v>2770.9387200000006</v>
      </c>
      <c r="AK28" s="20" t="s">
        <v>81</v>
      </c>
      <c r="AL28" s="27">
        <f>2.35*1.1*1.1</f>
        <v>2.8435000000000006</v>
      </c>
      <c r="AM28" s="22">
        <f>$AL$28*AM39*$B$45</f>
        <v>16525.284600000003</v>
      </c>
      <c r="AN28" s="22">
        <f>$AL$28*AN39*$B$45</f>
        <v>19814.645400000005</v>
      </c>
      <c r="AO28" s="22">
        <f>$AL$28*AO39*$B$45</f>
        <v>17391.983400000005</v>
      </c>
    </row>
    <row r="29" spans="1:41">
      <c r="A29" s="59" t="s">
        <v>61</v>
      </c>
      <c r="B29" s="59"/>
      <c r="C29" s="59"/>
      <c r="D29" s="59"/>
      <c r="E29" s="59"/>
      <c r="F29" s="59"/>
      <c r="G29" s="25"/>
      <c r="H29" s="28">
        <f t="shared" ref="H29:I29" si="60">SUM(H30:H35)</f>
        <v>3.8115000000000006</v>
      </c>
      <c r="I29" s="17">
        <f t="shared" si="60"/>
        <v>21332.2032</v>
      </c>
      <c r="J29" s="25"/>
      <c r="K29" s="28">
        <f t="shared" ref="K29:Q29" si="61">SUM(K30:K35)</f>
        <v>3.8115000000000006</v>
      </c>
      <c r="L29" s="17">
        <f t="shared" si="61"/>
        <v>27383.340600000007</v>
      </c>
      <c r="M29" s="17">
        <f t="shared" si="61"/>
        <v>20380.852800000008</v>
      </c>
      <c r="N29" s="17">
        <f t="shared" si="61"/>
        <v>21748.419000000002</v>
      </c>
      <c r="O29" s="17">
        <f t="shared" si="61"/>
        <v>26852.779800000008</v>
      </c>
      <c r="P29" s="17">
        <f t="shared" si="61"/>
        <v>15569.215200000002</v>
      </c>
      <c r="Q29" s="17">
        <f t="shared" si="61"/>
        <v>25576.689600000005</v>
      </c>
      <c r="R29" s="25"/>
      <c r="S29" s="29">
        <f>SUM(S30:S35)</f>
        <v>3.8115000000000006</v>
      </c>
      <c r="T29" s="31">
        <f t="shared" ref="T29:X29" si="62">SUM(T30:T35)</f>
        <v>19059.024600000004</v>
      </c>
      <c r="U29" s="31">
        <f t="shared" si="62"/>
        <v>14938.030800000006</v>
      </c>
      <c r="V29" s="17">
        <f t="shared" si="62"/>
        <v>18354.659400000008</v>
      </c>
      <c r="W29" s="31">
        <f t="shared" si="62"/>
        <v>14819.112000000003</v>
      </c>
      <c r="X29" s="31">
        <f t="shared" si="62"/>
        <v>23733.448200000006</v>
      </c>
      <c r="Y29" s="17">
        <f>SUM(Y30:Y35)</f>
        <v>17581.6872</v>
      </c>
      <c r="Z29" s="25"/>
      <c r="AA29" s="29">
        <f>SUM(AA30:AA35)</f>
        <v>3.8115000000000006</v>
      </c>
      <c r="AB29" s="30">
        <f>SUM(AB30:AB35)</f>
        <v>19447.797600000005</v>
      </c>
      <c r="AC29" s="25"/>
      <c r="AD29" s="28">
        <f t="shared" ref="AD29:AJ29" si="63">SUM(AD30:AD35)</f>
        <v>4.1624000000000008</v>
      </c>
      <c r="AE29" s="31">
        <f t="shared" si="63"/>
        <v>7951.8489599999994</v>
      </c>
      <c r="AF29" s="31">
        <f t="shared" si="63"/>
        <v>4460.4278400000012</v>
      </c>
      <c r="AG29" s="31">
        <f t="shared" si="63"/>
        <v>4660.2230399999999</v>
      </c>
      <c r="AH29" s="31">
        <f t="shared" si="63"/>
        <v>11408.305920000003</v>
      </c>
      <c r="AI29" s="31">
        <f t="shared" si="63"/>
        <v>5019.8544000000011</v>
      </c>
      <c r="AJ29" s="31">
        <f t="shared" si="63"/>
        <v>5124.7468800000006</v>
      </c>
      <c r="AK29" s="25"/>
      <c r="AL29" s="31">
        <f>SUM(AL30:AL35)</f>
        <v>1.7787000000000002</v>
      </c>
      <c r="AM29" s="17">
        <f>SUM(AM30:AM35)</f>
        <v>10337.092920000001</v>
      </c>
      <c r="AN29" s="17">
        <f>SUM(AN30:AN35)</f>
        <v>12394.693080000001</v>
      </c>
      <c r="AO29" s="17">
        <f>SUM(AO30:AO35)</f>
        <v>10879.240680000001</v>
      </c>
    </row>
    <row r="30" spans="1:41" ht="105.75" customHeight="1">
      <c r="A30" s="61" t="s">
        <v>62</v>
      </c>
      <c r="B30" s="61"/>
      <c r="C30" s="61"/>
      <c r="D30" s="61"/>
      <c r="E30" s="61"/>
      <c r="F30" s="61"/>
      <c r="G30" s="26" t="s">
        <v>82</v>
      </c>
      <c r="H30" s="21">
        <f>1.36*1.1*1.1</f>
        <v>1.6456000000000004</v>
      </c>
      <c r="I30" s="32">
        <f t="shared" ref="I30" si="64">$H$30*I39*$B$45</f>
        <v>9210.0940800000008</v>
      </c>
      <c r="J30" s="26" t="s">
        <v>82</v>
      </c>
      <c r="K30" s="21">
        <f>1.36*1.1*1.1</f>
        <v>1.6456000000000004</v>
      </c>
      <c r="L30" s="32">
        <f t="shared" ref="L30:Q30" si="65">$K$30*L39*$B$45</f>
        <v>11822.648640000003</v>
      </c>
      <c r="M30" s="32">
        <f t="shared" si="65"/>
        <v>8799.3523200000018</v>
      </c>
      <c r="N30" s="32">
        <f t="shared" si="65"/>
        <v>9389.7936000000027</v>
      </c>
      <c r="O30" s="32">
        <f t="shared" si="65"/>
        <v>11593.581120000003</v>
      </c>
      <c r="P30" s="32">
        <f t="shared" si="65"/>
        <v>6721.9468800000013</v>
      </c>
      <c r="Q30" s="32">
        <f t="shared" si="65"/>
        <v>11042.634240000003</v>
      </c>
      <c r="R30" s="26" t="s">
        <v>82</v>
      </c>
      <c r="S30" s="23">
        <f>1.36*1.1*1.1</f>
        <v>1.6456000000000004</v>
      </c>
      <c r="T30" s="32">
        <f t="shared" ref="T30:Y30" si="66">$S$30*T39*$B$45</f>
        <v>8228.6582400000025</v>
      </c>
      <c r="U30" s="32">
        <f t="shared" si="66"/>
        <v>6449.4355200000027</v>
      </c>
      <c r="V30" s="32">
        <f t="shared" si="66"/>
        <v>7924.5513600000031</v>
      </c>
      <c r="W30" s="32">
        <f t="shared" si="66"/>
        <v>6398.0928000000013</v>
      </c>
      <c r="X30" s="32">
        <f t="shared" si="66"/>
        <v>10246.822080000002</v>
      </c>
      <c r="Y30" s="32">
        <f t="shared" si="66"/>
        <v>7590.8236800000013</v>
      </c>
      <c r="Z30" s="26" t="s">
        <v>82</v>
      </c>
      <c r="AA30" s="23">
        <f>1.36*1.1*1.1</f>
        <v>1.6456000000000004</v>
      </c>
      <c r="AB30" s="22">
        <f>$AA$30*AB39*$B$45</f>
        <v>8396.5094400000016</v>
      </c>
      <c r="AC30" s="26" t="s">
        <v>82</v>
      </c>
      <c r="AD30" s="21">
        <f>1.76*1.1*1.1</f>
        <v>2.1296000000000004</v>
      </c>
      <c r="AE30" s="22">
        <f t="shared" ref="AE30:AJ30" si="67">$AD$30*AE39*$B$45</f>
        <v>4068.3878400000003</v>
      </c>
      <c r="AF30" s="22">
        <f t="shared" si="67"/>
        <v>2282.0793600000006</v>
      </c>
      <c r="AG30" s="22">
        <f t="shared" si="67"/>
        <v>2384.3001600000002</v>
      </c>
      <c r="AH30" s="22">
        <f t="shared" si="67"/>
        <v>5836.8076800000017</v>
      </c>
      <c r="AI30" s="22">
        <f t="shared" si="67"/>
        <v>2568.2976000000003</v>
      </c>
      <c r="AJ30" s="22">
        <f t="shared" si="67"/>
        <v>2621.9635200000002</v>
      </c>
      <c r="AK30" s="26" t="s">
        <v>82</v>
      </c>
      <c r="AL30" s="27">
        <v>0</v>
      </c>
      <c r="AM30" s="32">
        <f>$AL$30*AM39*$B$45</f>
        <v>0</v>
      </c>
      <c r="AN30" s="32">
        <f>$AL$30*AN39*$B$45</f>
        <v>0</v>
      </c>
      <c r="AO30" s="32">
        <f>$AL$30*AO39*$B$45</f>
        <v>0</v>
      </c>
    </row>
    <row r="31" spans="1:41" ht="55.15" customHeight="1">
      <c r="A31" s="58" t="s">
        <v>63</v>
      </c>
      <c r="B31" s="58"/>
      <c r="C31" s="58"/>
      <c r="D31" s="58"/>
      <c r="E31" s="58"/>
      <c r="F31" s="58"/>
      <c r="G31" s="26" t="s">
        <v>64</v>
      </c>
      <c r="H31" s="21">
        <f>0.89*1.1*1.1</f>
        <v>1.0769000000000002</v>
      </c>
      <c r="I31" s="32">
        <f t="shared" ref="I31" si="68">$H$31*I39*$B$45</f>
        <v>6027.1939200000006</v>
      </c>
      <c r="J31" s="26" t="s">
        <v>64</v>
      </c>
      <c r="K31" s="21">
        <f>0.89*1.1*1.1</f>
        <v>1.0769000000000002</v>
      </c>
      <c r="L31" s="32">
        <f t="shared" ref="L31:Q31" si="69">$K$31*L39*$B$45</f>
        <v>7736.8803600000019</v>
      </c>
      <c r="M31" s="32">
        <f t="shared" si="69"/>
        <v>5758.3996800000014</v>
      </c>
      <c r="N31" s="32">
        <f t="shared" si="69"/>
        <v>6144.7914000000001</v>
      </c>
      <c r="O31" s="32">
        <f t="shared" si="69"/>
        <v>7586.9758800000018</v>
      </c>
      <c r="P31" s="32">
        <f t="shared" si="69"/>
        <v>4398.9211200000009</v>
      </c>
      <c r="Q31" s="32">
        <f t="shared" si="69"/>
        <v>7226.4297600000018</v>
      </c>
      <c r="R31" s="26" t="s">
        <v>64</v>
      </c>
      <c r="S31" s="23">
        <f>0.89*1.1*1.1</f>
        <v>1.0769000000000002</v>
      </c>
      <c r="T31" s="32">
        <f t="shared" ref="T31:Y31" si="70">$S$31*T39*$B$45</f>
        <v>5384.9307600000011</v>
      </c>
      <c r="U31" s="32">
        <f t="shared" si="70"/>
        <v>4220.5864800000008</v>
      </c>
      <c r="V31" s="32">
        <f t="shared" si="70"/>
        <v>5185.919640000001</v>
      </c>
      <c r="W31" s="32">
        <f t="shared" si="70"/>
        <v>4186.9872000000005</v>
      </c>
      <c r="X31" s="32">
        <f t="shared" si="70"/>
        <v>6705.6409200000016</v>
      </c>
      <c r="Y31" s="32">
        <f t="shared" si="70"/>
        <v>4967.5243200000004</v>
      </c>
      <c r="Z31" s="26" t="s">
        <v>64</v>
      </c>
      <c r="AA31" s="23">
        <f>0.89*1.1*1.1</f>
        <v>1.0769000000000002</v>
      </c>
      <c r="AB31" s="22">
        <f>$AA$31*AB39*$B$45</f>
        <v>5494.7745600000007</v>
      </c>
      <c r="AC31" s="26" t="s">
        <v>64</v>
      </c>
      <c r="AD31" s="21">
        <f>0.72*1.1*1.1</f>
        <v>0.87120000000000009</v>
      </c>
      <c r="AE31" s="22">
        <f t="shared" ref="AE31:AJ31" si="71">$AD$31*AE39*$B$45</f>
        <v>1664.3404800000001</v>
      </c>
      <c r="AF31" s="22">
        <f t="shared" si="71"/>
        <v>933.57792000000018</v>
      </c>
      <c r="AG31" s="22">
        <f t="shared" si="71"/>
        <v>975.39552000000003</v>
      </c>
      <c r="AH31" s="22">
        <f t="shared" si="71"/>
        <v>2387.7849600000004</v>
      </c>
      <c r="AI31" s="22">
        <f t="shared" si="71"/>
        <v>1050.6672000000001</v>
      </c>
      <c r="AJ31" s="22">
        <f t="shared" si="71"/>
        <v>1072.6214399999999</v>
      </c>
      <c r="AK31" s="26" t="s">
        <v>64</v>
      </c>
      <c r="AL31" s="27">
        <f>0.68*1.1*1.1</f>
        <v>0.8228000000000002</v>
      </c>
      <c r="AM31" s="32">
        <f>$AL$31*AM39*$B$45</f>
        <v>4781.7844800000012</v>
      </c>
      <c r="AN31" s="32">
        <f>$AL$31*AN39*$B$45</f>
        <v>5733.5995200000016</v>
      </c>
      <c r="AO31" s="32">
        <f>$AL$31*AO39*$B$45</f>
        <v>5032.5739200000007</v>
      </c>
    </row>
    <row r="32" spans="1:41">
      <c r="A32" s="58" t="s">
        <v>65</v>
      </c>
      <c r="B32" s="58"/>
      <c r="C32" s="58"/>
      <c r="D32" s="58"/>
      <c r="E32" s="58"/>
      <c r="F32" s="58"/>
      <c r="G32" s="20" t="s">
        <v>83</v>
      </c>
      <c r="H32" s="21">
        <f>0.58*1.1*1.1</f>
        <v>0.70180000000000009</v>
      </c>
      <c r="I32" s="32">
        <f t="shared" ref="I32" si="72">$H$32*I39*$B$45</f>
        <v>3927.8342400000001</v>
      </c>
      <c r="J32" s="20" t="s">
        <v>83</v>
      </c>
      <c r="K32" s="21">
        <f>0.58*1.1*1.1</f>
        <v>0.70180000000000009</v>
      </c>
      <c r="L32" s="32">
        <f t="shared" ref="L32:Q32" si="73">$K$32*L39*$B$45</f>
        <v>5042.0119200000008</v>
      </c>
      <c r="M32" s="32">
        <f t="shared" si="73"/>
        <v>3752.664960000001</v>
      </c>
      <c r="N32" s="32">
        <f t="shared" si="73"/>
        <v>4004.4708000000005</v>
      </c>
      <c r="O32" s="32">
        <f t="shared" si="73"/>
        <v>4944.3213600000008</v>
      </c>
      <c r="P32" s="32">
        <f t="shared" si="73"/>
        <v>2866.7126400000002</v>
      </c>
      <c r="Q32" s="32">
        <f t="shared" si="73"/>
        <v>4709.3587200000011</v>
      </c>
      <c r="R32" s="20" t="s">
        <v>83</v>
      </c>
      <c r="S32" s="23">
        <f>0.58*1.1*1.1</f>
        <v>0.70180000000000009</v>
      </c>
      <c r="T32" s="32">
        <f t="shared" ref="T32:Y32" si="74">$S$32*T39*$B$45</f>
        <v>3509.2807200000002</v>
      </c>
      <c r="U32" s="32">
        <f t="shared" si="74"/>
        <v>2750.4945600000005</v>
      </c>
      <c r="V32" s="32">
        <f t="shared" si="74"/>
        <v>3379.5880800000004</v>
      </c>
      <c r="W32" s="32">
        <f t="shared" si="74"/>
        <v>2728.5984000000003</v>
      </c>
      <c r="X32" s="32">
        <f t="shared" si="74"/>
        <v>4369.9682400000002</v>
      </c>
      <c r="Y32" s="32">
        <f t="shared" si="74"/>
        <v>3237.2630400000003</v>
      </c>
      <c r="Z32" s="20" t="s">
        <v>83</v>
      </c>
      <c r="AA32" s="23">
        <f>0.58*1.1*1.1</f>
        <v>0.70180000000000009</v>
      </c>
      <c r="AB32" s="22">
        <f>$AA$32*AB39*$B$45</f>
        <v>3580.8643200000006</v>
      </c>
      <c r="AC32" s="20" t="s">
        <v>83</v>
      </c>
      <c r="AD32" s="21">
        <f>0.64*1.1*1.1</f>
        <v>0.77440000000000009</v>
      </c>
      <c r="AE32" s="22">
        <f t="shared" ref="AE32:AJ32" si="75">$AD$32*AE39*$B$45</f>
        <v>1479.4137599999999</v>
      </c>
      <c r="AF32" s="22">
        <f t="shared" si="75"/>
        <v>829.84703999999999</v>
      </c>
      <c r="AG32" s="22">
        <f t="shared" si="75"/>
        <v>867.01823999999999</v>
      </c>
      <c r="AH32" s="22">
        <f t="shared" si="75"/>
        <v>2122.4755200000004</v>
      </c>
      <c r="AI32" s="22">
        <f t="shared" si="75"/>
        <v>933.92640000000006</v>
      </c>
      <c r="AJ32" s="22">
        <f t="shared" si="75"/>
        <v>953.44128000000001</v>
      </c>
      <c r="AK32" s="20" t="s">
        <v>83</v>
      </c>
      <c r="AL32" s="27">
        <f>0.47*1.1*1.1</f>
        <v>0.56870000000000009</v>
      </c>
      <c r="AM32" s="32">
        <f>$AL$32*AM39*$B$45</f>
        <v>3305.0569200000004</v>
      </c>
      <c r="AN32" s="32">
        <f>$AL$32*AN39*$B$45</f>
        <v>3962.9290800000008</v>
      </c>
      <c r="AO32" s="32">
        <f>$AL$32*AO39*$B$45</f>
        <v>3478.3966800000003</v>
      </c>
    </row>
    <row r="33" spans="1:45">
      <c r="A33" s="58" t="s">
        <v>66</v>
      </c>
      <c r="B33" s="58"/>
      <c r="C33" s="58"/>
      <c r="D33" s="58"/>
      <c r="E33" s="58"/>
      <c r="F33" s="58"/>
      <c r="G33" s="20" t="s">
        <v>81</v>
      </c>
      <c r="H33" s="21">
        <f>0.32*1.1*1.1</f>
        <v>0.38720000000000004</v>
      </c>
      <c r="I33" s="32">
        <f t="shared" ref="I33" si="76">$H$33*I39*$B$45</f>
        <v>2167.0809600000002</v>
      </c>
      <c r="J33" s="20" t="s">
        <v>81</v>
      </c>
      <c r="K33" s="21">
        <f>0.32*1.1*1.1</f>
        <v>0.38720000000000004</v>
      </c>
      <c r="L33" s="32">
        <f t="shared" ref="L33:Q33" si="77">$K$33*L39*$B$45</f>
        <v>2781.7996800000005</v>
      </c>
      <c r="M33" s="32">
        <f t="shared" si="77"/>
        <v>2070.4358400000001</v>
      </c>
      <c r="N33" s="32">
        <f t="shared" si="77"/>
        <v>2209.3632000000002</v>
      </c>
      <c r="O33" s="32">
        <f t="shared" si="77"/>
        <v>2727.9014400000005</v>
      </c>
      <c r="P33" s="32">
        <f t="shared" si="77"/>
        <v>1581.6345600000002</v>
      </c>
      <c r="Q33" s="32">
        <f t="shared" si="77"/>
        <v>2598.2668800000006</v>
      </c>
      <c r="R33" s="20" t="s">
        <v>81</v>
      </c>
      <c r="S33" s="23">
        <f>0.32*1.1*1.1</f>
        <v>0.38720000000000004</v>
      </c>
      <c r="T33" s="32">
        <f t="shared" ref="T33:Y33" si="78">$S$33*T39*$B$45</f>
        <v>1936.1548800000003</v>
      </c>
      <c r="U33" s="32">
        <f t="shared" si="78"/>
        <v>1517.5142400000004</v>
      </c>
      <c r="V33" s="32">
        <f t="shared" si="78"/>
        <v>1864.60032</v>
      </c>
      <c r="W33" s="32">
        <f t="shared" si="78"/>
        <v>1505.4336000000001</v>
      </c>
      <c r="X33" s="32">
        <f t="shared" si="78"/>
        <v>2411.0169599999999</v>
      </c>
      <c r="Y33" s="32">
        <f t="shared" si="78"/>
        <v>1786.0761600000001</v>
      </c>
      <c r="Z33" s="20" t="s">
        <v>81</v>
      </c>
      <c r="AA33" s="23">
        <f>0.32*1.1*1.1</f>
        <v>0.38720000000000004</v>
      </c>
      <c r="AB33" s="22">
        <f>$AA$33*AB39*$B$45</f>
        <v>1975.6492800000003</v>
      </c>
      <c r="AC33" s="20" t="s">
        <v>81</v>
      </c>
      <c r="AD33" s="21">
        <f>0.32*1.1*1.1</f>
        <v>0.38720000000000004</v>
      </c>
      <c r="AE33" s="22">
        <f t="shared" ref="AE33:AJ33" si="79">$AD$33*AE39*$B$45</f>
        <v>739.70687999999996</v>
      </c>
      <c r="AF33" s="22">
        <f t="shared" si="79"/>
        <v>414.92352</v>
      </c>
      <c r="AG33" s="22">
        <f t="shared" si="79"/>
        <v>433.50912</v>
      </c>
      <c r="AH33" s="22">
        <f t="shared" si="79"/>
        <v>1061.2377600000002</v>
      </c>
      <c r="AI33" s="22">
        <f t="shared" si="79"/>
        <v>466.96320000000003</v>
      </c>
      <c r="AJ33" s="22">
        <f t="shared" si="79"/>
        <v>476.72064</v>
      </c>
      <c r="AK33" s="20" t="s">
        <v>81</v>
      </c>
      <c r="AL33" s="27">
        <f>0.32*1.1*1.1</f>
        <v>0.38720000000000004</v>
      </c>
      <c r="AM33" s="32">
        <f>$AL$33*AM39*$B$45</f>
        <v>2250.2515200000003</v>
      </c>
      <c r="AN33" s="32">
        <f>$AL$33*AN39*$B$45</f>
        <v>2698.1644800000004</v>
      </c>
      <c r="AO33" s="32">
        <f>$AL$33*AO39*$B$45</f>
        <v>2368.2700800000002</v>
      </c>
    </row>
    <row r="34" spans="1:45">
      <c r="A34" s="58" t="s">
        <v>67</v>
      </c>
      <c r="B34" s="58"/>
      <c r="C34" s="58"/>
      <c r="D34" s="58"/>
      <c r="E34" s="58"/>
      <c r="F34" s="58"/>
      <c r="G34" s="20" t="s">
        <v>56</v>
      </c>
      <c r="H34" s="21">
        <v>0</v>
      </c>
      <c r="I34" s="32">
        <f t="shared" ref="I34" si="80">$H$34*I39*$B$45</f>
        <v>0</v>
      </c>
      <c r="J34" s="20" t="s">
        <v>56</v>
      </c>
      <c r="K34" s="21">
        <v>0</v>
      </c>
      <c r="L34" s="32">
        <f t="shared" ref="L34:Q34" si="81">$K$34*L39*$B$45</f>
        <v>0</v>
      </c>
      <c r="M34" s="32">
        <f t="shared" si="81"/>
        <v>0</v>
      </c>
      <c r="N34" s="32">
        <f t="shared" si="81"/>
        <v>0</v>
      </c>
      <c r="O34" s="32">
        <f t="shared" si="81"/>
        <v>0</v>
      </c>
      <c r="P34" s="32">
        <f t="shared" si="81"/>
        <v>0</v>
      </c>
      <c r="Q34" s="32">
        <f t="shared" si="81"/>
        <v>0</v>
      </c>
      <c r="R34" s="20" t="s">
        <v>56</v>
      </c>
      <c r="S34" s="23">
        <v>0</v>
      </c>
      <c r="T34" s="32">
        <f t="shared" ref="T34:Y34" si="82">$S$34*T39*$B$45</f>
        <v>0</v>
      </c>
      <c r="U34" s="32">
        <f t="shared" si="82"/>
        <v>0</v>
      </c>
      <c r="V34" s="32">
        <f t="shared" si="82"/>
        <v>0</v>
      </c>
      <c r="W34" s="32">
        <f t="shared" si="82"/>
        <v>0</v>
      </c>
      <c r="X34" s="32">
        <f t="shared" si="82"/>
        <v>0</v>
      </c>
      <c r="Y34" s="32">
        <f t="shared" si="82"/>
        <v>0</v>
      </c>
      <c r="Z34" s="20" t="s">
        <v>56</v>
      </c>
      <c r="AA34" s="23">
        <v>0</v>
      </c>
      <c r="AB34" s="22">
        <f>$AA$34*AB39*$B$45</f>
        <v>0</v>
      </c>
      <c r="AC34" s="20" t="s">
        <v>56</v>
      </c>
      <c r="AD34" s="21">
        <v>0</v>
      </c>
      <c r="AE34" s="22">
        <f t="shared" ref="AE34:AJ34" si="83">$AD$34*AE39*$B$45</f>
        <v>0</v>
      </c>
      <c r="AF34" s="22">
        <f t="shared" si="83"/>
        <v>0</v>
      </c>
      <c r="AG34" s="22">
        <f t="shared" si="83"/>
        <v>0</v>
      </c>
      <c r="AH34" s="22">
        <f t="shared" si="83"/>
        <v>0</v>
      </c>
      <c r="AI34" s="22">
        <f t="shared" si="83"/>
        <v>0</v>
      </c>
      <c r="AJ34" s="22">
        <f t="shared" si="83"/>
        <v>0</v>
      </c>
      <c r="AK34" s="20" t="s">
        <v>56</v>
      </c>
      <c r="AL34" s="27">
        <v>0</v>
      </c>
      <c r="AM34" s="32">
        <f>$AL$34*AM39*$B$45</f>
        <v>0</v>
      </c>
      <c r="AN34" s="32">
        <f>$AL$34*AN39*$B$45</f>
        <v>0</v>
      </c>
      <c r="AO34" s="32">
        <f>$AL$34*AO39*$B$45</f>
        <v>0</v>
      </c>
    </row>
    <row r="35" spans="1:45">
      <c r="A35" s="58" t="s">
        <v>68</v>
      </c>
      <c r="B35" s="58"/>
      <c r="C35" s="58"/>
      <c r="D35" s="58"/>
      <c r="E35" s="58"/>
      <c r="F35" s="58"/>
      <c r="G35" s="20" t="s">
        <v>56</v>
      </c>
      <c r="H35" s="21">
        <v>0</v>
      </c>
      <c r="I35" s="32">
        <f t="shared" ref="I35" si="84">$H$35*I39*$B$45</f>
        <v>0</v>
      </c>
      <c r="J35" s="20" t="s">
        <v>56</v>
      </c>
      <c r="K35" s="21">
        <v>0</v>
      </c>
      <c r="L35" s="32">
        <f t="shared" ref="L35:Q35" si="85">$K$35*L39*$B$45</f>
        <v>0</v>
      </c>
      <c r="M35" s="32">
        <f t="shared" si="85"/>
        <v>0</v>
      </c>
      <c r="N35" s="32">
        <f t="shared" si="85"/>
        <v>0</v>
      </c>
      <c r="O35" s="32">
        <f t="shared" si="85"/>
        <v>0</v>
      </c>
      <c r="P35" s="32">
        <f t="shared" si="85"/>
        <v>0</v>
      </c>
      <c r="Q35" s="32">
        <f t="shared" si="85"/>
        <v>0</v>
      </c>
      <c r="R35" s="20" t="s">
        <v>56</v>
      </c>
      <c r="S35" s="23">
        <v>0</v>
      </c>
      <c r="T35" s="32">
        <f t="shared" ref="T35:Y35" si="86">$S$35*T39*$B$45</f>
        <v>0</v>
      </c>
      <c r="U35" s="32">
        <f t="shared" si="86"/>
        <v>0</v>
      </c>
      <c r="V35" s="32">
        <f t="shared" si="86"/>
        <v>0</v>
      </c>
      <c r="W35" s="32">
        <f t="shared" si="86"/>
        <v>0</v>
      </c>
      <c r="X35" s="32">
        <f t="shared" si="86"/>
        <v>0</v>
      </c>
      <c r="Y35" s="32">
        <f t="shared" si="86"/>
        <v>0</v>
      </c>
      <c r="Z35" s="20" t="s">
        <v>56</v>
      </c>
      <c r="AA35" s="23">
        <v>0</v>
      </c>
      <c r="AB35" s="22">
        <f>$AA$35*AB39*$B$45</f>
        <v>0</v>
      </c>
      <c r="AC35" s="20" t="s">
        <v>56</v>
      </c>
      <c r="AD35" s="21">
        <v>0</v>
      </c>
      <c r="AE35" s="22">
        <f t="shared" ref="AE35:AJ35" si="87">$AD$35*AE39*$B$45</f>
        <v>0</v>
      </c>
      <c r="AF35" s="22">
        <f t="shared" si="87"/>
        <v>0</v>
      </c>
      <c r="AG35" s="22">
        <f t="shared" si="87"/>
        <v>0</v>
      </c>
      <c r="AH35" s="22">
        <f t="shared" si="87"/>
        <v>0</v>
      </c>
      <c r="AI35" s="22">
        <f t="shared" si="87"/>
        <v>0</v>
      </c>
      <c r="AJ35" s="22">
        <f t="shared" si="87"/>
        <v>0</v>
      </c>
      <c r="AK35" s="20" t="s">
        <v>56</v>
      </c>
      <c r="AL35" s="27">
        <v>0</v>
      </c>
      <c r="AM35" s="32">
        <f>$AL$35*AM39*$B$45</f>
        <v>0</v>
      </c>
      <c r="AN35" s="32">
        <f>$AL$35*AN39*$B$45</f>
        <v>0</v>
      </c>
      <c r="AO35" s="32">
        <f>$AL$35*AO39*$B$45</f>
        <v>0</v>
      </c>
    </row>
    <row r="36" spans="1:45">
      <c r="A36" s="59" t="s">
        <v>69</v>
      </c>
      <c r="B36" s="59"/>
      <c r="C36" s="59"/>
      <c r="D36" s="59"/>
      <c r="E36" s="59"/>
      <c r="F36" s="59"/>
      <c r="G36" s="25"/>
      <c r="H36" s="28">
        <v>0</v>
      </c>
      <c r="I36" s="30">
        <f t="shared" ref="I36" si="88">$H$36*I39*$B$45</f>
        <v>0</v>
      </c>
      <c r="J36" s="25"/>
      <c r="K36" s="28">
        <f>0.62*1.1*1.1</f>
        <v>0.75020000000000009</v>
      </c>
      <c r="L36" s="30">
        <f t="shared" ref="L36:Q36" si="89">$K$36*L39*$B$45</f>
        <v>5389.7368800000004</v>
      </c>
      <c r="M36" s="30">
        <f t="shared" si="89"/>
        <v>4011.4694400000008</v>
      </c>
      <c r="N36" s="30">
        <f t="shared" si="89"/>
        <v>4280.6412000000009</v>
      </c>
      <c r="O36" s="30">
        <f t="shared" si="89"/>
        <v>5285.309040000001</v>
      </c>
      <c r="P36" s="30">
        <f t="shared" si="89"/>
        <v>3064.4169600000005</v>
      </c>
      <c r="Q36" s="30">
        <f t="shared" si="89"/>
        <v>5034.1420800000005</v>
      </c>
      <c r="R36" s="25"/>
      <c r="S36" s="29">
        <f>0.62*1.1*1.1</f>
        <v>0.75020000000000009</v>
      </c>
      <c r="T36" s="30">
        <f t="shared" ref="T36:Y36" si="90">$S$36*T39*$B$45</f>
        <v>3751.3000800000009</v>
      </c>
      <c r="U36" s="30">
        <f t="shared" si="90"/>
        <v>2940.1838400000006</v>
      </c>
      <c r="V36" s="30">
        <f t="shared" si="90"/>
        <v>3612.6631200000002</v>
      </c>
      <c r="W36" s="30">
        <f t="shared" si="90"/>
        <v>2916.7776000000003</v>
      </c>
      <c r="X36" s="30">
        <f t="shared" si="90"/>
        <v>4671.3453600000003</v>
      </c>
      <c r="Y36" s="30">
        <f t="shared" si="90"/>
        <v>3460.5225600000003</v>
      </c>
      <c r="Z36" s="25"/>
      <c r="AA36" s="29">
        <v>0</v>
      </c>
      <c r="AB36" s="30">
        <f>$AA$36*AB39*$B$45</f>
        <v>0</v>
      </c>
      <c r="AC36" s="25"/>
      <c r="AD36" s="28">
        <f>0.62*1.1*1.1</f>
        <v>0.75020000000000009</v>
      </c>
      <c r="AE36" s="30">
        <f t="shared" ref="AE36:AJ36" si="91">$AD$36*AE39*$B$45</f>
        <v>1433.18208</v>
      </c>
      <c r="AF36" s="30">
        <f t="shared" si="91"/>
        <v>803.91432000000009</v>
      </c>
      <c r="AG36" s="30">
        <f t="shared" si="91"/>
        <v>839.92392000000007</v>
      </c>
      <c r="AH36" s="30">
        <f t="shared" si="91"/>
        <v>2056.1481600000002</v>
      </c>
      <c r="AI36" s="30">
        <f t="shared" si="91"/>
        <v>904.74120000000016</v>
      </c>
      <c r="AJ36" s="30">
        <f t="shared" si="91"/>
        <v>923.64624000000003</v>
      </c>
      <c r="AK36" s="25"/>
      <c r="AL36" s="31">
        <f>0.62*1.1*1.1</f>
        <v>0.75020000000000009</v>
      </c>
      <c r="AM36" s="30">
        <f>$AL$36*AM39*$B$45</f>
        <v>4359.8623200000011</v>
      </c>
      <c r="AN36" s="30">
        <f>$AL$36*AN39*$B$45</f>
        <v>5227.6936800000003</v>
      </c>
      <c r="AO36" s="30">
        <f>$AL$36*AO39*$B$45</f>
        <v>4588.5232800000003</v>
      </c>
    </row>
    <row r="37" spans="1:45">
      <c r="A37" s="64" t="s">
        <v>70</v>
      </c>
      <c r="B37" s="65"/>
      <c r="C37" s="65"/>
      <c r="D37" s="65"/>
      <c r="E37" s="65"/>
      <c r="F37" s="66"/>
      <c r="G37" s="25"/>
      <c r="H37" s="28">
        <f>1.09*1.1*1.1</f>
        <v>1.3189000000000004</v>
      </c>
      <c r="I37" s="30">
        <f t="shared" ref="I37" si="92">$H$37*I39*$B$45</f>
        <v>7381.619520000002</v>
      </c>
      <c r="J37" s="25"/>
      <c r="K37" s="28">
        <f>1.09*1.1*1.1</f>
        <v>1.3189000000000004</v>
      </c>
      <c r="L37" s="30">
        <f t="shared" ref="L37:Q37" si="93">$K$37*L39*$B$45</f>
        <v>9475.5051600000043</v>
      </c>
      <c r="M37" s="30">
        <f t="shared" si="93"/>
        <v>7052.4220800000021</v>
      </c>
      <c r="N37" s="30">
        <f t="shared" si="93"/>
        <v>7525.6434000000027</v>
      </c>
      <c r="O37" s="30">
        <f t="shared" si="93"/>
        <v>9291.9142800000027</v>
      </c>
      <c r="P37" s="30">
        <f t="shared" si="93"/>
        <v>5387.4427200000009</v>
      </c>
      <c r="Q37" s="30">
        <f t="shared" si="93"/>
        <v>8850.3465600000036</v>
      </c>
      <c r="R37" s="25"/>
      <c r="S37" s="29">
        <f>1.15*1.1*1.1</f>
        <v>1.3915</v>
      </c>
      <c r="T37" s="30">
        <f t="shared" ref="T37:Y37" si="94">$S$37*T39*$B$45</f>
        <v>6958.0565999999999</v>
      </c>
      <c r="U37" s="30">
        <f t="shared" si="94"/>
        <v>5453.5668000000005</v>
      </c>
      <c r="V37" s="30">
        <f t="shared" si="94"/>
        <v>6700.9074000000001</v>
      </c>
      <c r="W37" s="30">
        <f t="shared" si="94"/>
        <v>5410.152</v>
      </c>
      <c r="X37" s="30">
        <f t="shared" si="94"/>
        <v>8664.5921999999991</v>
      </c>
      <c r="Y37" s="30">
        <f t="shared" si="94"/>
        <v>6418.7111999999988</v>
      </c>
      <c r="Z37" s="25"/>
      <c r="AA37" s="29">
        <f>1.15*1.1*1.1</f>
        <v>1.3915</v>
      </c>
      <c r="AB37" s="30">
        <f>$AA$37*AB39*$B$45</f>
        <v>7099.9895999999999</v>
      </c>
      <c r="AC37" s="25"/>
      <c r="AD37" s="28">
        <f>1.21*1.1*1.1</f>
        <v>1.4641000000000002</v>
      </c>
      <c r="AE37" s="30">
        <f t="shared" ref="AE37:AJ37" si="95">$AD$37*AE39*$B$45</f>
        <v>2797.0166399999998</v>
      </c>
      <c r="AF37" s="30">
        <f t="shared" si="95"/>
        <v>1568.92956</v>
      </c>
      <c r="AG37" s="30">
        <f t="shared" si="95"/>
        <v>1639.2063600000001</v>
      </c>
      <c r="AH37" s="30">
        <f t="shared" si="95"/>
        <v>4012.8052800000005</v>
      </c>
      <c r="AI37" s="30">
        <f t="shared" si="95"/>
        <v>1765.7046</v>
      </c>
      <c r="AJ37" s="30">
        <f t="shared" si="95"/>
        <v>1802.5999200000001</v>
      </c>
      <c r="AK37" s="25"/>
      <c r="AL37" s="28">
        <f>0.95*1.1*1.1</f>
        <v>1.1495</v>
      </c>
      <c r="AM37" s="30">
        <f>$AL$37*AM39*$B$45</f>
        <v>6680.4341999999997</v>
      </c>
      <c r="AN37" s="30">
        <f>$AL$37*AN39*$B$45</f>
        <v>8010.1758000000009</v>
      </c>
      <c r="AO37" s="30">
        <f>$AL$37*AO39*$B$45</f>
        <v>7030.8017999999993</v>
      </c>
    </row>
    <row r="38" spans="1:45">
      <c r="A38" s="62" t="s">
        <v>71</v>
      </c>
      <c r="B38" s="62"/>
      <c r="C38" s="62"/>
      <c r="D38" s="62"/>
      <c r="E38" s="62"/>
      <c r="F38" s="62"/>
      <c r="G38" s="33"/>
      <c r="H38" s="34"/>
      <c r="I38" s="17">
        <f t="shared" ref="I38" si="96">I29+I24+I15+I10+I36+I37</f>
        <v>100836.98592000001</v>
      </c>
      <c r="J38" s="42"/>
      <c r="K38" s="34"/>
      <c r="L38" s="17">
        <f t="shared" ref="L38:M38" si="97">L29+L24+L15+L10+L36+L37</f>
        <v>134830.35324000005</v>
      </c>
      <c r="M38" s="17">
        <f t="shared" si="97"/>
        <v>100351.43712000003</v>
      </c>
      <c r="N38" s="17">
        <f>N29+N24+N15+N10+N36+N37</f>
        <v>107085.07260000001</v>
      </c>
      <c r="O38" s="17">
        <f t="shared" ref="O38:Q38" si="98">O29+O24+O15+O10+O36+O37</f>
        <v>132217.97292000006</v>
      </c>
      <c r="P38" s="17">
        <f t="shared" si="98"/>
        <v>76659.850080000018</v>
      </c>
      <c r="Q38" s="17">
        <f t="shared" si="98"/>
        <v>125934.74784000004</v>
      </c>
      <c r="R38" s="42"/>
      <c r="S38" s="29"/>
      <c r="T38" s="17">
        <f t="shared" ref="T38:X38" si="99">T29+T24+T15+T10+T36+T37</f>
        <v>91422.813240000018</v>
      </c>
      <c r="U38" s="17">
        <f t="shared" si="99"/>
        <v>71655.125520000016</v>
      </c>
      <c r="V38" s="17">
        <f t="shared" si="99"/>
        <v>88044.09636000001</v>
      </c>
      <c r="W38" s="17">
        <f t="shared" si="99"/>
        <v>71084.692800000019</v>
      </c>
      <c r="X38" s="17">
        <f t="shared" si="99"/>
        <v>113845.20708000004</v>
      </c>
      <c r="Y38" s="17">
        <f>Y29+Y24+Y15+Y10+Y36+Y37</f>
        <v>84336.283680000022</v>
      </c>
      <c r="Z38" s="42"/>
      <c r="AA38" s="29"/>
      <c r="AB38" s="17">
        <f>AB29+AB24+AB15+AB10+AB36+AB37</f>
        <v>89459.868960000022</v>
      </c>
      <c r="AC38" s="42"/>
      <c r="AD38" s="21"/>
      <c r="AE38" s="17">
        <f t="shared" ref="AE38:AJ38" si="100">AE29+AE24+AE15+AE10+AE36+AE37</f>
        <v>36407.448000000004</v>
      </c>
      <c r="AF38" s="17">
        <f t="shared" si="100"/>
        <v>20422.017</v>
      </c>
      <c r="AG38" s="17">
        <f t="shared" si="100"/>
        <v>21336.777000000002</v>
      </c>
      <c r="AH38" s="17">
        <f t="shared" si="100"/>
        <v>52232.796000000002</v>
      </c>
      <c r="AI38" s="17">
        <f t="shared" si="100"/>
        <v>22983.345000000005</v>
      </c>
      <c r="AJ38" s="17">
        <f t="shared" si="100"/>
        <v>23463.594000000005</v>
      </c>
      <c r="AK38" s="42"/>
      <c r="AL38" s="19"/>
      <c r="AM38" s="17">
        <f>AM29+AM24+AM15+AM10+AM36+AM37</f>
        <v>70882.922880000013</v>
      </c>
      <c r="AN38" s="17">
        <f>AN29+AN24+AN15+AN10+AN36+AN37</f>
        <v>84992.181120000023</v>
      </c>
      <c r="AO38" s="17">
        <f>AO29+AO24+AO15+AO10+AO36+AO37</f>
        <v>74600.507520000014</v>
      </c>
      <c r="AP38" s="35"/>
    </row>
    <row r="39" spans="1:45" ht="15.75">
      <c r="A39" s="62" t="s">
        <v>72</v>
      </c>
      <c r="B39" s="62"/>
      <c r="C39" s="62"/>
      <c r="D39" s="62"/>
      <c r="E39" s="62"/>
      <c r="F39" s="62"/>
      <c r="G39" s="33"/>
      <c r="H39" s="36"/>
      <c r="I39" s="17">
        <v>466.4</v>
      </c>
      <c r="J39" s="42"/>
      <c r="K39" s="36"/>
      <c r="L39" s="17">
        <v>598.70000000000005</v>
      </c>
      <c r="M39" s="17">
        <v>445.6</v>
      </c>
      <c r="N39" s="17">
        <v>475.5</v>
      </c>
      <c r="O39" s="17">
        <v>587.1</v>
      </c>
      <c r="P39" s="17">
        <v>340.4</v>
      </c>
      <c r="Q39" s="17">
        <v>559.20000000000005</v>
      </c>
      <c r="R39" s="42"/>
      <c r="S39" s="37"/>
      <c r="T39" s="17">
        <v>416.7</v>
      </c>
      <c r="U39" s="17">
        <v>326.60000000000002</v>
      </c>
      <c r="V39" s="17">
        <v>401.3</v>
      </c>
      <c r="W39" s="17">
        <v>324</v>
      </c>
      <c r="X39" s="17">
        <v>518.9</v>
      </c>
      <c r="Y39" s="17">
        <v>384.4</v>
      </c>
      <c r="Z39" s="42"/>
      <c r="AA39" s="37"/>
      <c r="AB39" s="17">
        <v>425.2</v>
      </c>
      <c r="AC39" s="42"/>
      <c r="AD39" s="36"/>
      <c r="AE39" s="17">
        <v>159.19999999999999</v>
      </c>
      <c r="AF39" s="17">
        <v>89.3</v>
      </c>
      <c r="AG39" s="17">
        <v>93.3</v>
      </c>
      <c r="AH39" s="17">
        <v>228.4</v>
      </c>
      <c r="AI39" s="17">
        <v>100.5</v>
      </c>
      <c r="AJ39" s="17">
        <v>102.6</v>
      </c>
      <c r="AK39" s="42"/>
      <c r="AL39" s="38"/>
      <c r="AM39" s="17">
        <v>484.3</v>
      </c>
      <c r="AN39" s="17">
        <v>580.70000000000005</v>
      </c>
      <c r="AO39" s="17">
        <v>509.7</v>
      </c>
      <c r="AP39" s="43"/>
      <c r="AQ39" s="44"/>
      <c r="AR39" s="44"/>
      <c r="AS39" s="44"/>
    </row>
    <row r="40" spans="1:45" s="41" customFormat="1" ht="25.5" customHeight="1">
      <c r="A40" s="63" t="s">
        <v>73</v>
      </c>
      <c r="B40" s="63"/>
      <c r="C40" s="63"/>
      <c r="D40" s="63"/>
      <c r="E40" s="63"/>
      <c r="F40" s="63"/>
      <c r="G40" s="39"/>
      <c r="H40" s="40">
        <f>H15+H24+H29+H36+H37</f>
        <v>18.016900000000003</v>
      </c>
      <c r="I40" s="38">
        <f t="shared" ref="I40" si="101">I38/12/I39</f>
        <v>18.0169</v>
      </c>
      <c r="J40" s="39"/>
      <c r="K40" s="40">
        <f>K15+K24+K29+K36+K37</f>
        <v>18.767100000000003</v>
      </c>
      <c r="L40" s="38">
        <f t="shared" ref="L40:Q40" si="102">L38/12/L39</f>
        <v>18.767100000000006</v>
      </c>
      <c r="M40" s="38">
        <f t="shared" si="102"/>
        <v>18.767100000000006</v>
      </c>
      <c r="N40" s="38">
        <f t="shared" si="102"/>
        <v>18.767100000000003</v>
      </c>
      <c r="O40" s="38">
        <f t="shared" si="102"/>
        <v>18.767100000000006</v>
      </c>
      <c r="P40" s="38">
        <f t="shared" si="102"/>
        <v>18.767100000000006</v>
      </c>
      <c r="Q40" s="38">
        <f t="shared" si="102"/>
        <v>18.767100000000003</v>
      </c>
      <c r="R40" s="39"/>
      <c r="S40" s="40">
        <f>S15+S24+S29+S36+S37</f>
        <v>18.283100000000005</v>
      </c>
      <c r="T40" s="38">
        <f t="shared" ref="T40:X40" si="103">T38/12/T39</f>
        <v>18.283100000000005</v>
      </c>
      <c r="U40" s="38">
        <f t="shared" si="103"/>
        <v>18.283100000000005</v>
      </c>
      <c r="V40" s="38">
        <f t="shared" si="103"/>
        <v>18.283100000000001</v>
      </c>
      <c r="W40" s="38">
        <f t="shared" si="103"/>
        <v>18.283100000000005</v>
      </c>
      <c r="X40" s="38">
        <f t="shared" si="103"/>
        <v>18.283100000000008</v>
      </c>
      <c r="Y40" s="38">
        <f>Y38/12/Y39</f>
        <v>18.283100000000008</v>
      </c>
      <c r="Z40" s="39"/>
      <c r="AA40" s="40">
        <f>AA15+AA24+AA29+AA36+AA37</f>
        <v>17.532900000000005</v>
      </c>
      <c r="AB40" s="38">
        <f>AB38/12/AB39</f>
        <v>17.532900000000005</v>
      </c>
      <c r="AC40" s="39"/>
      <c r="AD40" s="40">
        <f>AD15+AD24+AD29+AD36+AD37</f>
        <v>19.057500000000005</v>
      </c>
      <c r="AE40" s="38">
        <f t="shared" ref="AE40:AJ40" si="104">AE38/12/AE39</f>
        <v>19.057500000000001</v>
      </c>
      <c r="AF40" s="38">
        <f t="shared" si="104"/>
        <v>19.057500000000001</v>
      </c>
      <c r="AG40" s="38">
        <f t="shared" si="104"/>
        <v>19.057500000000005</v>
      </c>
      <c r="AH40" s="38">
        <f t="shared" si="104"/>
        <v>19.057500000000001</v>
      </c>
      <c r="AI40" s="38">
        <f t="shared" si="104"/>
        <v>19.057500000000005</v>
      </c>
      <c r="AJ40" s="38">
        <f t="shared" si="104"/>
        <v>19.057500000000005</v>
      </c>
      <c r="AK40" s="39"/>
      <c r="AL40" s="40">
        <f>AL15+AL24+AL29+AL36+AL37</f>
        <v>12.196800000000001</v>
      </c>
      <c r="AM40" s="38">
        <f>AM38/12/AM39</f>
        <v>12.196800000000001</v>
      </c>
      <c r="AN40" s="38">
        <f>AN38/12/AN39</f>
        <v>12.196800000000003</v>
      </c>
      <c r="AO40" s="38">
        <f>AO38/12/AO39</f>
        <v>12.196800000000001</v>
      </c>
      <c r="AP40" s="43"/>
      <c r="AQ40" s="45"/>
      <c r="AR40" s="45"/>
      <c r="AS40" s="45"/>
    </row>
    <row r="41" spans="1:45">
      <c r="AP41" s="46"/>
      <c r="AQ41" s="44"/>
      <c r="AR41" s="44"/>
      <c r="AS41" s="44"/>
    </row>
    <row r="42" spans="1:45" ht="12.75" hidden="1" customHeight="1"/>
    <row r="45" spans="1:45">
      <c r="A45" s="3" t="s">
        <v>74</v>
      </c>
      <c r="B45" s="3">
        <v>12</v>
      </c>
    </row>
    <row r="49" spans="1:1">
      <c r="A49" s="3">
        <v>1.1000000000000001</v>
      </c>
    </row>
  </sheetData>
  <mergeCells count="43">
    <mergeCell ref="A38:F38"/>
    <mergeCell ref="A39:F39"/>
    <mergeCell ref="A40:F40"/>
    <mergeCell ref="A32:F32"/>
    <mergeCell ref="A33:F33"/>
    <mergeCell ref="A34:F34"/>
    <mergeCell ref="A35:F35"/>
    <mergeCell ref="A36:F36"/>
    <mergeCell ref="A37:F37"/>
    <mergeCell ref="A31:F31"/>
    <mergeCell ref="A20:F20"/>
    <mergeCell ref="A21:F21"/>
    <mergeCell ref="A22:F22"/>
    <mergeCell ref="A23:F23"/>
    <mergeCell ref="A24:F24"/>
    <mergeCell ref="A25:F25"/>
    <mergeCell ref="A26:F26"/>
    <mergeCell ref="A27:F27"/>
    <mergeCell ref="A28:F28"/>
    <mergeCell ref="A29:F29"/>
    <mergeCell ref="A30:F30"/>
    <mergeCell ref="A19:F19"/>
    <mergeCell ref="AC8:AI8"/>
    <mergeCell ref="AK8:AO8"/>
    <mergeCell ref="A10:F10"/>
    <mergeCell ref="A11:F11"/>
    <mergeCell ref="A12:F12"/>
    <mergeCell ref="A13:F13"/>
    <mergeCell ref="A14:F14"/>
    <mergeCell ref="A15:F15"/>
    <mergeCell ref="A16:F16"/>
    <mergeCell ref="A17:F17"/>
    <mergeCell ref="A18:F18"/>
    <mergeCell ref="A1:H1"/>
    <mergeCell ref="A2:H2"/>
    <mergeCell ref="A3:H3"/>
    <mergeCell ref="A4:H4"/>
    <mergeCell ref="A7:F9"/>
    <mergeCell ref="G7:AI7"/>
    <mergeCell ref="G8:I8"/>
    <mergeCell ref="J8:Q8"/>
    <mergeCell ref="R8:Y8"/>
    <mergeCell ref="Z8:AB8"/>
  </mergeCells>
  <pageMargins left="0.43307086614173229" right="0.11811023622047245" top="0.23622047244094491" bottom="0.39370078740157483" header="0.51181102362204722" footer="0.51181102362204722"/>
  <pageSetup paperSize="9" scale="55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итог 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alekseevaiv2</cp:lastModifiedBy>
  <cp:lastPrinted>2014-11-25T07:33:27Z</cp:lastPrinted>
  <dcterms:created xsi:type="dcterms:W3CDTF">2014-10-03T07:01:51Z</dcterms:created>
  <dcterms:modified xsi:type="dcterms:W3CDTF">2014-11-25T07:34:49Z</dcterms:modified>
</cp:coreProperties>
</file>